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4240" windowHeight="13005"/>
  </bookViews>
  <sheets>
    <sheet name="사용설명서" sheetId="10" r:id="rId1"/>
    <sheet name="설계요소" sheetId="5" r:id="rId2"/>
    <sheet name="열대지역장기수" sheetId="3" r:id="rId3"/>
    <sheet name="열대지역속성수" sheetId="11" r:id="rId4"/>
    <sheet name="팜유나무조림" sheetId="7" r:id="rId5"/>
    <sheet name="바이오매스조림" sheetId="8" r:id="rId6"/>
    <sheet name="고무나무조림" sheetId="6" r:id="rId7"/>
    <sheet name="기타지역장기수" sheetId="9" r:id="rId8"/>
    <sheet name="기계경비" sheetId="4" r:id="rId9"/>
    <sheet name="Sheet1" sheetId="12" state="hidden" r:id="rId10"/>
  </sheets>
  <calcPr calcId="125725"/>
</workbook>
</file>

<file path=xl/calcChain.xml><?xml version="1.0" encoding="utf-8"?>
<calcChain xmlns="http://schemas.openxmlformats.org/spreadsheetml/2006/main">
  <c r="AQ4" i="5"/>
  <c r="AQ5" l="1"/>
  <c r="F32" i="11"/>
  <c r="G8" i="9"/>
  <c r="F35" i="11"/>
  <c r="F34"/>
  <c r="F33"/>
  <c r="F30"/>
  <c r="E45"/>
  <c r="G45" s="1"/>
  <c r="E44"/>
  <c r="H44" s="1"/>
  <c r="E43"/>
  <c r="G43" s="1"/>
  <c r="E40"/>
  <c r="E39"/>
  <c r="G39" s="1"/>
  <c r="E38"/>
  <c r="H38" s="1"/>
  <c r="E37"/>
  <c r="G37" s="1"/>
  <c r="E36"/>
  <c r="E35"/>
  <c r="E34"/>
  <c r="E33"/>
  <c r="E32"/>
  <c r="E31"/>
  <c r="G31" s="1"/>
  <c r="E30"/>
  <c r="E27"/>
  <c r="H27" s="1"/>
  <c r="J27" s="1"/>
  <c r="E26"/>
  <c r="G26" s="1"/>
  <c r="E23"/>
  <c r="E24" s="1"/>
  <c r="H24" s="1"/>
  <c r="E22"/>
  <c r="E21"/>
  <c r="H21" s="1"/>
  <c r="E20"/>
  <c r="E19"/>
  <c r="G19" s="1"/>
  <c r="E16"/>
  <c r="E14"/>
  <c r="G14" s="1"/>
  <c r="E13"/>
  <c r="G13" s="1"/>
  <c r="E12"/>
  <c r="E11"/>
  <c r="G11" s="1"/>
  <c r="E8"/>
  <c r="G8" s="1"/>
  <c r="R37"/>
  <c r="R36"/>
  <c r="R33"/>
  <c r="R32"/>
  <c r="R31"/>
  <c r="R30"/>
  <c r="R29"/>
  <c r="R28"/>
  <c r="R27"/>
  <c r="R26"/>
  <c r="R23"/>
  <c r="R21"/>
  <c r="R20"/>
  <c r="R19"/>
  <c r="R16"/>
  <c r="R14"/>
  <c r="R13"/>
  <c r="R12"/>
  <c r="R11"/>
  <c r="U11" s="1"/>
  <c r="R8"/>
  <c r="U8" s="1"/>
  <c r="R7"/>
  <c r="U7" s="1"/>
  <c r="V7" s="1"/>
  <c r="R6"/>
  <c r="U6" s="1"/>
  <c r="V6" s="1"/>
  <c r="R5"/>
  <c r="R4"/>
  <c r="U4" s="1"/>
  <c r="R27" i="3"/>
  <c r="E31"/>
  <c r="G31" s="1"/>
  <c r="I47" i="11"/>
  <c r="J46"/>
  <c r="J41"/>
  <c r="U39"/>
  <c r="V38"/>
  <c r="V34"/>
  <c r="I29"/>
  <c r="J28"/>
  <c r="U25"/>
  <c r="V24"/>
  <c r="V17"/>
  <c r="J17"/>
  <c r="T10"/>
  <c r="H10"/>
  <c r="U9"/>
  <c r="V9" s="1"/>
  <c r="J9"/>
  <c r="J7"/>
  <c r="J6"/>
  <c r="I5"/>
  <c r="I10" s="1"/>
  <c r="J4"/>
  <c r="O2"/>
  <c r="T20" i="5"/>
  <c r="U13"/>
  <c r="R15" i="11" s="1"/>
  <c r="T13" i="5"/>
  <c r="E15" i="11" s="1"/>
  <c r="H21" i="9"/>
  <c r="I20"/>
  <c r="I33"/>
  <c r="I32"/>
  <c r="I5"/>
  <c r="I10" s="1"/>
  <c r="U39"/>
  <c r="T10"/>
  <c r="I47"/>
  <c r="H10"/>
  <c r="U40" i="6"/>
  <c r="U26"/>
  <c r="V35"/>
  <c r="R34"/>
  <c r="I46"/>
  <c r="F34"/>
  <c r="F33"/>
  <c r="F30"/>
  <c r="I29"/>
  <c r="H10"/>
  <c r="I10"/>
  <c r="E39"/>
  <c r="U36" i="8"/>
  <c r="U25"/>
  <c r="T10"/>
  <c r="I45"/>
  <c r="I29"/>
  <c r="U39" i="7"/>
  <c r="U25"/>
  <c r="I47"/>
  <c r="K42"/>
  <c r="L42"/>
  <c r="M42"/>
  <c r="N42"/>
  <c r="I29"/>
  <c r="H10"/>
  <c r="U25" i="3"/>
  <c r="I48"/>
  <c r="R37" i="9"/>
  <c r="R36"/>
  <c r="R33"/>
  <c r="R32"/>
  <c r="R31"/>
  <c r="R30"/>
  <c r="R29"/>
  <c r="R28"/>
  <c r="S28" s="1"/>
  <c r="R27"/>
  <c r="R26"/>
  <c r="R23"/>
  <c r="R21"/>
  <c r="R20"/>
  <c r="U20" s="1"/>
  <c r="U25" s="1"/>
  <c r="R19"/>
  <c r="R16"/>
  <c r="R15"/>
  <c r="R14"/>
  <c r="R13"/>
  <c r="R12"/>
  <c r="R11"/>
  <c r="R7"/>
  <c r="R8"/>
  <c r="R6"/>
  <c r="R5"/>
  <c r="F102" i="4"/>
  <c r="E104"/>
  <c r="E45" i="9"/>
  <c r="G45" s="1"/>
  <c r="E44"/>
  <c r="H44" s="1"/>
  <c r="H47" s="1"/>
  <c r="E43"/>
  <c r="G43" s="1"/>
  <c r="E40"/>
  <c r="E39"/>
  <c r="G39" s="1"/>
  <c r="E38"/>
  <c r="H38" s="1"/>
  <c r="E37"/>
  <c r="G37" s="1"/>
  <c r="E36"/>
  <c r="E35"/>
  <c r="E34"/>
  <c r="E31"/>
  <c r="E30"/>
  <c r="E27"/>
  <c r="H27" s="1"/>
  <c r="E26"/>
  <c r="G26" s="1"/>
  <c r="E23"/>
  <c r="H23" s="1"/>
  <c r="E22"/>
  <c r="E19"/>
  <c r="G19" s="1"/>
  <c r="E16"/>
  <c r="E14"/>
  <c r="G14" s="1"/>
  <c r="E13"/>
  <c r="E12"/>
  <c r="E11"/>
  <c r="G11" s="1"/>
  <c r="G32" i="11" l="1"/>
  <c r="J32" s="1"/>
  <c r="H35"/>
  <c r="J35" s="1"/>
  <c r="U5"/>
  <c r="V5" s="1"/>
  <c r="H33"/>
  <c r="T28" s="1"/>
  <c r="G22"/>
  <c r="G25" s="1"/>
  <c r="G34"/>
  <c r="J34" s="1"/>
  <c r="G20"/>
  <c r="J20" s="1"/>
  <c r="H23"/>
  <c r="H25" s="1"/>
  <c r="J13"/>
  <c r="G30"/>
  <c r="S26" s="1"/>
  <c r="V26" s="1"/>
  <c r="J24"/>
  <c r="J26"/>
  <c r="J14"/>
  <c r="T31"/>
  <c r="T23"/>
  <c r="S8"/>
  <c r="V8" s="1"/>
  <c r="J31"/>
  <c r="J31" i="3"/>
  <c r="S27"/>
  <c r="V27" s="1"/>
  <c r="G10" i="11"/>
  <c r="V4"/>
  <c r="J8"/>
  <c r="G47"/>
  <c r="J43"/>
  <c r="J21"/>
  <c r="J45"/>
  <c r="S37"/>
  <c r="V37" s="1"/>
  <c r="S23"/>
  <c r="S36"/>
  <c r="J39"/>
  <c r="S32"/>
  <c r="V32" s="1"/>
  <c r="J37"/>
  <c r="S31"/>
  <c r="J11"/>
  <c r="S11"/>
  <c r="H47"/>
  <c r="J44"/>
  <c r="S13"/>
  <c r="V13" s="1"/>
  <c r="S14"/>
  <c r="V14" s="1"/>
  <c r="S19"/>
  <c r="J5"/>
  <c r="T20"/>
  <c r="R22"/>
  <c r="T36"/>
  <c r="T39" s="1"/>
  <c r="J19"/>
  <c r="S37" i="9"/>
  <c r="I29"/>
  <c r="G22"/>
  <c r="J6"/>
  <c r="U6"/>
  <c r="V6" s="1"/>
  <c r="J7"/>
  <c r="U7"/>
  <c r="V7" s="1"/>
  <c r="J46"/>
  <c r="J41"/>
  <c r="J39"/>
  <c r="V38"/>
  <c r="J37"/>
  <c r="F35"/>
  <c r="H35" s="1"/>
  <c r="T29" s="1"/>
  <c r="V34"/>
  <c r="F34"/>
  <c r="G34" s="1"/>
  <c r="S29" s="1"/>
  <c r="F33"/>
  <c r="G33" s="1"/>
  <c r="J33" s="1"/>
  <c r="J32"/>
  <c r="F32"/>
  <c r="F31"/>
  <c r="G31" s="1"/>
  <c r="S27" s="1"/>
  <c r="F30"/>
  <c r="G30" s="1"/>
  <c r="S26" s="1"/>
  <c r="J28"/>
  <c r="V24"/>
  <c r="E24"/>
  <c r="H24" s="1"/>
  <c r="R22"/>
  <c r="V17"/>
  <c r="J17"/>
  <c r="J14"/>
  <c r="U11"/>
  <c r="U9"/>
  <c r="V9" s="1"/>
  <c r="J9"/>
  <c r="U8"/>
  <c r="U5"/>
  <c r="V5" s="1"/>
  <c r="J4"/>
  <c r="O2"/>
  <c r="BV4" i="5"/>
  <c r="R4" i="9" s="1"/>
  <c r="U4" s="1"/>
  <c r="BU20" i="5"/>
  <c r="BU13"/>
  <c r="E15" i="9" s="1"/>
  <c r="V39" i="6"/>
  <c r="V25"/>
  <c r="V17"/>
  <c r="R38"/>
  <c r="R37"/>
  <c r="R33"/>
  <c r="R32"/>
  <c r="R31"/>
  <c r="R30"/>
  <c r="R29"/>
  <c r="R28"/>
  <c r="R27"/>
  <c r="R24"/>
  <c r="R22"/>
  <c r="R21"/>
  <c r="R20"/>
  <c r="R19"/>
  <c r="R16"/>
  <c r="R14"/>
  <c r="R13"/>
  <c r="R12"/>
  <c r="R11"/>
  <c r="U11" s="1"/>
  <c r="R5"/>
  <c r="U5" s="1"/>
  <c r="V5" s="1"/>
  <c r="R6"/>
  <c r="U6" s="1"/>
  <c r="V6" s="1"/>
  <c r="R7"/>
  <c r="U7" s="1"/>
  <c r="V7" s="1"/>
  <c r="R8"/>
  <c r="U8" s="1"/>
  <c r="T10"/>
  <c r="U9"/>
  <c r="V9" s="1"/>
  <c r="F93" i="4"/>
  <c r="F94" s="1"/>
  <c r="E95"/>
  <c r="E91" s="1"/>
  <c r="F88"/>
  <c r="F89" s="1"/>
  <c r="E90"/>
  <c r="E86" s="1"/>
  <c r="F83"/>
  <c r="F84" s="1"/>
  <c r="E85"/>
  <c r="E81" s="1"/>
  <c r="F78"/>
  <c r="F79" s="1"/>
  <c r="E80"/>
  <c r="E76" s="1"/>
  <c r="G39" i="6" s="1"/>
  <c r="S34" s="1"/>
  <c r="G92" i="4"/>
  <c r="G91" s="1"/>
  <c r="G87"/>
  <c r="G86" s="1"/>
  <c r="G82"/>
  <c r="G81" s="1"/>
  <c r="G77"/>
  <c r="G76" s="1"/>
  <c r="I39" i="6" s="1"/>
  <c r="U34" s="1"/>
  <c r="E44"/>
  <c r="G44" s="1"/>
  <c r="J44" s="1"/>
  <c r="E43"/>
  <c r="H43" s="1"/>
  <c r="H46" s="1"/>
  <c r="E42"/>
  <c r="G42" s="1"/>
  <c r="E38"/>
  <c r="G38" s="1"/>
  <c r="J38" s="1"/>
  <c r="E37"/>
  <c r="H37" s="1"/>
  <c r="E36"/>
  <c r="G36" s="1"/>
  <c r="J36" s="1"/>
  <c r="E35"/>
  <c r="E34"/>
  <c r="H34" s="1"/>
  <c r="E33"/>
  <c r="E32"/>
  <c r="G32" s="1"/>
  <c r="J32" s="1"/>
  <c r="E31"/>
  <c r="G31" s="1"/>
  <c r="E30"/>
  <c r="G30" s="1"/>
  <c r="E28"/>
  <c r="H28" s="1"/>
  <c r="E27"/>
  <c r="G27" s="1"/>
  <c r="E24"/>
  <c r="E25" s="1"/>
  <c r="H25" s="1"/>
  <c r="J25" s="1"/>
  <c r="E23"/>
  <c r="E22"/>
  <c r="H22" s="1"/>
  <c r="E21"/>
  <c r="G21" s="1"/>
  <c r="J21" s="1"/>
  <c r="E20"/>
  <c r="G20" s="1"/>
  <c r="E19"/>
  <c r="G19" s="1"/>
  <c r="E12"/>
  <c r="E13"/>
  <c r="G13" s="1"/>
  <c r="E14"/>
  <c r="G14" s="1"/>
  <c r="E16"/>
  <c r="E11"/>
  <c r="G11" s="1"/>
  <c r="J7"/>
  <c r="E8"/>
  <c r="G8" s="1"/>
  <c r="BK4" i="5"/>
  <c r="R4" i="6" s="1"/>
  <c r="U4" s="1"/>
  <c r="BJ21" i="5"/>
  <c r="BK13"/>
  <c r="R15" i="6" s="1"/>
  <c r="BJ13" i="5"/>
  <c r="E15" i="6" s="1"/>
  <c r="R34" i="8"/>
  <c r="R33"/>
  <c r="R31"/>
  <c r="R30"/>
  <c r="R29"/>
  <c r="R28"/>
  <c r="R27"/>
  <c r="R26"/>
  <c r="R23"/>
  <c r="R21"/>
  <c r="R22" s="1"/>
  <c r="R20"/>
  <c r="R19"/>
  <c r="R16"/>
  <c r="R12"/>
  <c r="R13"/>
  <c r="R14"/>
  <c r="R11"/>
  <c r="U11" s="1"/>
  <c r="R5"/>
  <c r="R6"/>
  <c r="U6" s="1"/>
  <c r="V6" s="1"/>
  <c r="R7"/>
  <c r="U7" s="1"/>
  <c r="V7" s="1"/>
  <c r="R8"/>
  <c r="U8" s="1"/>
  <c r="R4"/>
  <c r="U4" s="1"/>
  <c r="F69" i="4"/>
  <c r="F70" s="1"/>
  <c r="E71"/>
  <c r="E67" s="1"/>
  <c r="F64"/>
  <c r="F65" s="1"/>
  <c r="E66"/>
  <c r="E62" s="1"/>
  <c r="F59"/>
  <c r="F60" s="1"/>
  <c r="E61"/>
  <c r="E57" s="1"/>
  <c r="F54"/>
  <c r="F55" s="1"/>
  <c r="F52" s="1"/>
  <c r="E56"/>
  <c r="E52" s="1"/>
  <c r="G68"/>
  <c r="G67" s="1"/>
  <c r="G63"/>
  <c r="G62" s="1"/>
  <c r="G58"/>
  <c r="G57" s="1"/>
  <c r="G53"/>
  <c r="G52" s="1"/>
  <c r="E43" i="8"/>
  <c r="G43" s="1"/>
  <c r="E42"/>
  <c r="H42" s="1"/>
  <c r="H45" s="1"/>
  <c r="E41"/>
  <c r="G41" s="1"/>
  <c r="E38"/>
  <c r="H38" s="1"/>
  <c r="E37"/>
  <c r="G37" s="1"/>
  <c r="E36"/>
  <c r="E35"/>
  <c r="E34"/>
  <c r="E33"/>
  <c r="E32"/>
  <c r="E31"/>
  <c r="E30"/>
  <c r="E27"/>
  <c r="H27" s="1"/>
  <c r="E26"/>
  <c r="G26" s="1"/>
  <c r="E23"/>
  <c r="H23" s="1"/>
  <c r="E22"/>
  <c r="E21"/>
  <c r="H21" s="1"/>
  <c r="E20"/>
  <c r="E19"/>
  <c r="G19" s="1"/>
  <c r="E16"/>
  <c r="E14"/>
  <c r="G14" s="1"/>
  <c r="E13"/>
  <c r="G13" s="1"/>
  <c r="E12"/>
  <c r="E11"/>
  <c r="G11" s="1"/>
  <c r="E8"/>
  <c r="G8" s="1"/>
  <c r="J44"/>
  <c r="J39"/>
  <c r="V35"/>
  <c r="F35"/>
  <c r="F34"/>
  <c r="F33"/>
  <c r="F32"/>
  <c r="F31"/>
  <c r="F30"/>
  <c r="J28"/>
  <c r="V24"/>
  <c r="V17"/>
  <c r="J17"/>
  <c r="I10"/>
  <c r="H10"/>
  <c r="U9"/>
  <c r="V9" s="1"/>
  <c r="J9"/>
  <c r="J7"/>
  <c r="J6"/>
  <c r="J5"/>
  <c r="I5"/>
  <c r="J4"/>
  <c r="O2"/>
  <c r="AP20" i="5"/>
  <c r="AQ13"/>
  <c r="R15" i="8" s="1"/>
  <c r="AP13" i="5"/>
  <c r="E15" i="8" s="1"/>
  <c r="R37" i="7"/>
  <c r="R36"/>
  <c r="R33"/>
  <c r="R32"/>
  <c r="R31"/>
  <c r="R30"/>
  <c r="R29"/>
  <c r="R28"/>
  <c r="R27"/>
  <c r="R26"/>
  <c r="R23"/>
  <c r="R21"/>
  <c r="R22" s="1"/>
  <c r="R20"/>
  <c r="R19"/>
  <c r="R16"/>
  <c r="R14"/>
  <c r="R13"/>
  <c r="R12"/>
  <c r="R11"/>
  <c r="U11" s="1"/>
  <c r="R8"/>
  <c r="U8" s="1"/>
  <c r="R7"/>
  <c r="U7" s="1"/>
  <c r="V7" s="1"/>
  <c r="R6"/>
  <c r="U6" s="1"/>
  <c r="V6" s="1"/>
  <c r="R5"/>
  <c r="R4"/>
  <c r="U4" s="1"/>
  <c r="F34"/>
  <c r="F35" s="1"/>
  <c r="F32"/>
  <c r="F33" s="1"/>
  <c r="F30"/>
  <c r="F31" s="1"/>
  <c r="F11" i="4"/>
  <c r="E47"/>
  <c r="E43" s="1"/>
  <c r="E42"/>
  <c r="E38" s="1"/>
  <c r="E37"/>
  <c r="E33" s="1"/>
  <c r="F45"/>
  <c r="F46" s="1"/>
  <c r="F40"/>
  <c r="F41" s="1"/>
  <c r="F35"/>
  <c r="F36" s="1"/>
  <c r="F30"/>
  <c r="F31" s="1"/>
  <c r="E32"/>
  <c r="E28" s="1"/>
  <c r="G44"/>
  <c r="G43"/>
  <c r="G39"/>
  <c r="G38"/>
  <c r="G34"/>
  <c r="G33"/>
  <c r="G29"/>
  <c r="G28"/>
  <c r="E45" i="7"/>
  <c r="G45" s="1"/>
  <c r="E44"/>
  <c r="H44" s="1"/>
  <c r="H47" s="1"/>
  <c r="E43"/>
  <c r="G43" s="1"/>
  <c r="J43" s="1"/>
  <c r="E40"/>
  <c r="I40" s="1"/>
  <c r="E39"/>
  <c r="G39" s="1"/>
  <c r="J39" s="1"/>
  <c r="E38"/>
  <c r="H38" s="1"/>
  <c r="E37"/>
  <c r="G37" s="1"/>
  <c r="E36"/>
  <c r="E35"/>
  <c r="E34"/>
  <c r="E33"/>
  <c r="E32"/>
  <c r="E31"/>
  <c r="E30"/>
  <c r="E27"/>
  <c r="E26"/>
  <c r="G26" s="1"/>
  <c r="J26" s="1"/>
  <c r="E23"/>
  <c r="H23" s="1"/>
  <c r="E22"/>
  <c r="E21"/>
  <c r="E20"/>
  <c r="E19"/>
  <c r="G19" s="1"/>
  <c r="E16"/>
  <c r="E14"/>
  <c r="G14" s="1"/>
  <c r="E13"/>
  <c r="G13" s="1"/>
  <c r="E12"/>
  <c r="E11"/>
  <c r="E8"/>
  <c r="G8" s="1"/>
  <c r="J46"/>
  <c r="J41"/>
  <c r="V38"/>
  <c r="V34"/>
  <c r="J28"/>
  <c r="V24"/>
  <c r="V17"/>
  <c r="J17"/>
  <c r="T10"/>
  <c r="U9"/>
  <c r="V9" s="1"/>
  <c r="J9"/>
  <c r="J7"/>
  <c r="J6"/>
  <c r="J5"/>
  <c r="I5"/>
  <c r="I10" s="1"/>
  <c r="J4"/>
  <c r="O2"/>
  <c r="AE20" i="5"/>
  <c r="AF13"/>
  <c r="R15" i="7" s="1"/>
  <c r="AE13" i="5"/>
  <c r="E15" i="7" s="1"/>
  <c r="E8" i="3"/>
  <c r="G8" s="1"/>
  <c r="J8" s="1"/>
  <c r="F36"/>
  <c r="F35"/>
  <c r="R38"/>
  <c r="R37"/>
  <c r="R34"/>
  <c r="R33"/>
  <c r="R32"/>
  <c r="R31"/>
  <c r="R30"/>
  <c r="R29"/>
  <c r="R28"/>
  <c r="R26"/>
  <c r="R23"/>
  <c r="R21"/>
  <c r="R22" s="1"/>
  <c r="R20"/>
  <c r="R12"/>
  <c r="R13"/>
  <c r="R14"/>
  <c r="R16"/>
  <c r="R11"/>
  <c r="R5"/>
  <c r="R6"/>
  <c r="U6" s="1"/>
  <c r="V6" s="1"/>
  <c r="R7"/>
  <c r="U7" s="1"/>
  <c r="V7" s="1"/>
  <c r="R8"/>
  <c r="U8" s="1"/>
  <c r="R4"/>
  <c r="U4" s="1"/>
  <c r="E46"/>
  <c r="G46" s="1"/>
  <c r="J46" s="1"/>
  <c r="E45"/>
  <c r="H45" s="1"/>
  <c r="H48" s="1"/>
  <c r="E44"/>
  <c r="G44" s="1"/>
  <c r="J44" s="1"/>
  <c r="E41"/>
  <c r="E40"/>
  <c r="G40" s="1"/>
  <c r="J40" s="1"/>
  <c r="E39"/>
  <c r="H39" s="1"/>
  <c r="E38"/>
  <c r="G38" s="1"/>
  <c r="J38" s="1"/>
  <c r="E37"/>
  <c r="E36"/>
  <c r="E35"/>
  <c r="E34"/>
  <c r="E33"/>
  <c r="F34"/>
  <c r="F33"/>
  <c r="E32"/>
  <c r="E30"/>
  <c r="E27"/>
  <c r="H27" s="1"/>
  <c r="J27" s="1"/>
  <c r="E26"/>
  <c r="G26" s="1"/>
  <c r="J26" s="1"/>
  <c r="E23"/>
  <c r="E24" s="1"/>
  <c r="E21"/>
  <c r="H21" s="1"/>
  <c r="J21" s="1"/>
  <c r="E20"/>
  <c r="E19"/>
  <c r="G19" s="1"/>
  <c r="J19" s="1"/>
  <c r="E16"/>
  <c r="E14"/>
  <c r="G14" s="1"/>
  <c r="J14" s="1"/>
  <c r="E13"/>
  <c r="G13" s="1"/>
  <c r="E12"/>
  <c r="E11"/>
  <c r="G11" s="1"/>
  <c r="I20" i="5"/>
  <c r="J15"/>
  <c r="R19" i="3" s="1"/>
  <c r="J13" i="5"/>
  <c r="R15" i="3" s="1"/>
  <c r="I5"/>
  <c r="V39"/>
  <c r="V35"/>
  <c r="V24"/>
  <c r="V17"/>
  <c r="U40"/>
  <c r="U9"/>
  <c r="V9" s="1"/>
  <c r="T10"/>
  <c r="J47"/>
  <c r="J42"/>
  <c r="J28"/>
  <c r="J17"/>
  <c r="J6"/>
  <c r="J7"/>
  <c r="J9"/>
  <c r="H10"/>
  <c r="I29"/>
  <c r="O2"/>
  <c r="F107" i="4"/>
  <c r="F108" s="1"/>
  <c r="G106"/>
  <c r="G105" s="1"/>
  <c r="I13" i="9" s="1"/>
  <c r="E119" i="4"/>
  <c r="E115" s="1"/>
  <c r="G116"/>
  <c r="G115" s="1"/>
  <c r="F112"/>
  <c r="F113" s="1"/>
  <c r="G111"/>
  <c r="G110" s="1"/>
  <c r="G101"/>
  <c r="G100" s="1"/>
  <c r="I40" i="9" s="1"/>
  <c r="G10" i="4"/>
  <c r="G9" s="1"/>
  <c r="E13"/>
  <c r="E9" s="1"/>
  <c r="F117"/>
  <c r="E114"/>
  <c r="E110" s="1"/>
  <c r="G15" i="9" s="1"/>
  <c r="E109" i="4"/>
  <c r="E105" s="1"/>
  <c r="G13" i="9" s="1"/>
  <c r="J45" i="6"/>
  <c r="J40"/>
  <c r="J17"/>
  <c r="J5"/>
  <c r="J6"/>
  <c r="J9"/>
  <c r="BD10" i="5"/>
  <c r="BA9"/>
  <c r="BA6"/>
  <c r="J4" i="6"/>
  <c r="O2"/>
  <c r="Y10" i="5"/>
  <c r="E22" i="3"/>
  <c r="I13" i="5"/>
  <c r="E15" i="3" s="1"/>
  <c r="F21" i="4"/>
  <c r="F22" s="1"/>
  <c r="F16"/>
  <c r="F17" s="1"/>
  <c r="E23"/>
  <c r="E18"/>
  <c r="E8"/>
  <c r="F6"/>
  <c r="F7" s="1"/>
  <c r="S28" i="11" l="1"/>
  <c r="V28" s="1"/>
  <c r="I16" i="9"/>
  <c r="U16" s="1"/>
  <c r="I36"/>
  <c r="I42" s="1"/>
  <c r="I12" i="8"/>
  <c r="H21" i="7"/>
  <c r="T20" s="1"/>
  <c r="I15" i="9"/>
  <c r="I12"/>
  <c r="U12" s="1"/>
  <c r="I12" i="7"/>
  <c r="H33"/>
  <c r="T28" s="1"/>
  <c r="T29" i="11"/>
  <c r="H35" i="7"/>
  <c r="T29" s="1"/>
  <c r="U10" i="11"/>
  <c r="J33"/>
  <c r="J25"/>
  <c r="S21"/>
  <c r="V10"/>
  <c r="H29"/>
  <c r="J22"/>
  <c r="J23"/>
  <c r="J30"/>
  <c r="T21"/>
  <c r="S29"/>
  <c r="J10"/>
  <c r="H34" i="3"/>
  <c r="J34" s="1"/>
  <c r="S33" i="8"/>
  <c r="V31" i="11"/>
  <c r="V23"/>
  <c r="G29"/>
  <c r="S20"/>
  <c r="V20" s="1"/>
  <c r="S10"/>
  <c r="S27"/>
  <c r="V27" s="1"/>
  <c r="G46" i="6"/>
  <c r="T37"/>
  <c r="T40" s="1"/>
  <c r="V11" i="11"/>
  <c r="V19"/>
  <c r="V36"/>
  <c r="V39" s="1"/>
  <c r="S39"/>
  <c r="S22"/>
  <c r="T22"/>
  <c r="J47"/>
  <c r="S20" i="6"/>
  <c r="V20" s="1"/>
  <c r="S27"/>
  <c r="V27" s="1"/>
  <c r="S38"/>
  <c r="V38" s="1"/>
  <c r="G12"/>
  <c r="T30"/>
  <c r="H36" i="3"/>
  <c r="T30" s="1"/>
  <c r="G34" i="7"/>
  <c r="S29" s="1"/>
  <c r="G33" i="8"/>
  <c r="T28" s="1"/>
  <c r="G35" i="6"/>
  <c r="S31" s="1"/>
  <c r="S24"/>
  <c r="G32" i="7"/>
  <c r="S28" s="1"/>
  <c r="S37"/>
  <c r="V37" s="1"/>
  <c r="H35" i="8"/>
  <c r="J35" s="1"/>
  <c r="G15" i="6"/>
  <c r="S15" s="1"/>
  <c r="G23"/>
  <c r="S22" s="1"/>
  <c r="S29"/>
  <c r="V29" s="1"/>
  <c r="S32"/>
  <c r="J22"/>
  <c r="S34" i="8"/>
  <c r="V34" s="1"/>
  <c r="G35" i="3"/>
  <c r="J35" s="1"/>
  <c r="G32" i="8"/>
  <c r="S28" s="1"/>
  <c r="S37" i="6"/>
  <c r="G33" i="3"/>
  <c r="S29" s="1"/>
  <c r="S38"/>
  <c r="G34" i="8"/>
  <c r="S29" s="1"/>
  <c r="G16" i="6"/>
  <c r="S16" s="1"/>
  <c r="G33"/>
  <c r="S21"/>
  <c r="S28"/>
  <c r="V28" s="1"/>
  <c r="T32"/>
  <c r="U10" i="9"/>
  <c r="G16"/>
  <c r="S16" s="1"/>
  <c r="G36"/>
  <c r="S30" s="1"/>
  <c r="S33" i="6"/>
  <c r="V33" s="1"/>
  <c r="G10"/>
  <c r="J8"/>
  <c r="J10" s="1"/>
  <c r="J11"/>
  <c r="S13"/>
  <c r="V13" s="1"/>
  <c r="J13"/>
  <c r="J14"/>
  <c r="S14"/>
  <c r="V14" s="1"/>
  <c r="S11"/>
  <c r="V11" s="1"/>
  <c r="I16"/>
  <c r="U16" s="1"/>
  <c r="I15"/>
  <c r="U15" s="1"/>
  <c r="I35"/>
  <c r="I41" s="1"/>
  <c r="S19"/>
  <c r="V19" s="1"/>
  <c r="T21"/>
  <c r="T24"/>
  <c r="I12"/>
  <c r="U12" s="1"/>
  <c r="J31"/>
  <c r="J24" i="9"/>
  <c r="G25"/>
  <c r="S22" s="1"/>
  <c r="J5"/>
  <c r="S36"/>
  <c r="S32"/>
  <c r="V32" s="1"/>
  <c r="J31"/>
  <c r="V27"/>
  <c r="S13"/>
  <c r="V13" s="1"/>
  <c r="S14"/>
  <c r="V14" s="1"/>
  <c r="U15"/>
  <c r="T28"/>
  <c r="S15"/>
  <c r="J30"/>
  <c r="T31"/>
  <c r="S8"/>
  <c r="G10"/>
  <c r="J8"/>
  <c r="J11"/>
  <c r="S11"/>
  <c r="J34"/>
  <c r="V29"/>
  <c r="J45"/>
  <c r="V37"/>
  <c r="V4"/>
  <c r="J21"/>
  <c r="T23"/>
  <c r="J27"/>
  <c r="G47"/>
  <c r="J43"/>
  <c r="S31"/>
  <c r="J26"/>
  <c r="S23"/>
  <c r="J35"/>
  <c r="J44"/>
  <c r="S19"/>
  <c r="U33"/>
  <c r="J20"/>
  <c r="T20"/>
  <c r="T36"/>
  <c r="T39" s="1"/>
  <c r="J19"/>
  <c r="S8" i="6"/>
  <c r="V8" s="1"/>
  <c r="U10"/>
  <c r="V4"/>
  <c r="R23"/>
  <c r="F86" i="4"/>
  <c r="D86" s="1"/>
  <c r="F76"/>
  <c r="H39" i="6" s="1"/>
  <c r="T34" s="1"/>
  <c r="V34" s="1"/>
  <c r="F81" i="4"/>
  <c r="D81" s="1"/>
  <c r="G36" i="8"/>
  <c r="G31"/>
  <c r="J31" s="1"/>
  <c r="G20"/>
  <c r="J20" s="1"/>
  <c r="G30"/>
  <c r="J30" s="1"/>
  <c r="G16"/>
  <c r="H12"/>
  <c r="G22"/>
  <c r="J22" s="1"/>
  <c r="G15"/>
  <c r="I15"/>
  <c r="U15" s="1"/>
  <c r="I16"/>
  <c r="U16" s="1"/>
  <c r="G40" i="7"/>
  <c r="S33" s="1"/>
  <c r="J27" i="8"/>
  <c r="I36"/>
  <c r="I40" s="1"/>
  <c r="G12"/>
  <c r="U5" i="7"/>
  <c r="V5" s="1"/>
  <c r="F67" i="4"/>
  <c r="D67" s="1"/>
  <c r="D52"/>
  <c r="F57"/>
  <c r="D57" s="1"/>
  <c r="F62"/>
  <c r="H15" i="8" s="1"/>
  <c r="G15" i="7"/>
  <c r="J37" i="8"/>
  <c r="J14"/>
  <c r="J13"/>
  <c r="U5"/>
  <c r="V5" s="1"/>
  <c r="G30" i="7"/>
  <c r="G36"/>
  <c r="J43" i="8"/>
  <c r="J42"/>
  <c r="T33"/>
  <c r="T36" s="1"/>
  <c r="G45"/>
  <c r="J41"/>
  <c r="S31"/>
  <c r="S23"/>
  <c r="J26"/>
  <c r="T20"/>
  <c r="J21"/>
  <c r="S14"/>
  <c r="V14" s="1"/>
  <c r="U12"/>
  <c r="J11"/>
  <c r="S11"/>
  <c r="V11" s="1"/>
  <c r="S8"/>
  <c r="G10"/>
  <c r="J8"/>
  <c r="J10" s="1"/>
  <c r="V4"/>
  <c r="S19"/>
  <c r="J19"/>
  <c r="J23"/>
  <c r="H25"/>
  <c r="T22" s="1"/>
  <c r="T23"/>
  <c r="T31"/>
  <c r="S13"/>
  <c r="V13" s="1"/>
  <c r="E24"/>
  <c r="G20" i="3"/>
  <c r="S20" s="1"/>
  <c r="G16" i="7"/>
  <c r="G31"/>
  <c r="J31" s="1"/>
  <c r="G20"/>
  <c r="S20" s="1"/>
  <c r="I15"/>
  <c r="U15" s="1"/>
  <c r="G22"/>
  <c r="G25" s="1"/>
  <c r="G12"/>
  <c r="I16"/>
  <c r="U16" s="1"/>
  <c r="J37"/>
  <c r="G11"/>
  <c r="J11" s="1"/>
  <c r="F43" i="4"/>
  <c r="H16" i="7" s="1"/>
  <c r="I36"/>
  <c r="I42" s="1"/>
  <c r="H27"/>
  <c r="J27" s="1"/>
  <c r="S36"/>
  <c r="S23"/>
  <c r="F38" i="4"/>
  <c r="F28"/>
  <c r="J14" i="7"/>
  <c r="J13"/>
  <c r="J45"/>
  <c r="G47"/>
  <c r="J44"/>
  <c r="T36"/>
  <c r="T39" s="1"/>
  <c r="S32"/>
  <c r="V32" s="1"/>
  <c r="S31"/>
  <c r="J35"/>
  <c r="U12"/>
  <c r="G10"/>
  <c r="J8"/>
  <c r="J10" s="1"/>
  <c r="S8"/>
  <c r="S19"/>
  <c r="J19"/>
  <c r="S14"/>
  <c r="V14" s="1"/>
  <c r="V4"/>
  <c r="H25"/>
  <c r="J23"/>
  <c r="E24"/>
  <c r="T31"/>
  <c r="S13"/>
  <c r="V13" s="1"/>
  <c r="U5" i="3"/>
  <c r="V5" s="1"/>
  <c r="G32"/>
  <c r="J32" s="1"/>
  <c r="E100" i="4"/>
  <c r="S23" i="3"/>
  <c r="S37"/>
  <c r="T20"/>
  <c r="S11"/>
  <c r="S33"/>
  <c r="V33" s="1"/>
  <c r="S8"/>
  <c r="S10" s="1"/>
  <c r="U11"/>
  <c r="T23"/>
  <c r="S32"/>
  <c r="G10"/>
  <c r="T32"/>
  <c r="T37"/>
  <c r="T40" s="1"/>
  <c r="J45"/>
  <c r="J48" s="1"/>
  <c r="S13"/>
  <c r="V13" s="1"/>
  <c r="G30"/>
  <c r="J30" s="1"/>
  <c r="G22"/>
  <c r="S21" s="1"/>
  <c r="S14"/>
  <c r="V14" s="1"/>
  <c r="J13"/>
  <c r="J36"/>
  <c r="J5"/>
  <c r="I10"/>
  <c r="G48"/>
  <c r="H24"/>
  <c r="J24" s="1"/>
  <c r="V4"/>
  <c r="J43" i="6"/>
  <c r="J27"/>
  <c r="J28"/>
  <c r="J20"/>
  <c r="J34"/>
  <c r="F118" i="4"/>
  <c r="F115" s="1"/>
  <c r="F105"/>
  <c r="H13" i="9" s="1"/>
  <c r="J13" s="1"/>
  <c r="F103" i="4"/>
  <c r="F100" s="1"/>
  <c r="F110"/>
  <c r="J37" i="6"/>
  <c r="H24"/>
  <c r="J30"/>
  <c r="J19"/>
  <c r="J42"/>
  <c r="S19" i="3"/>
  <c r="H23"/>
  <c r="J23" s="1"/>
  <c r="J11"/>
  <c r="J4"/>
  <c r="F19" i="4"/>
  <c r="G20"/>
  <c r="G19" s="1"/>
  <c r="E4"/>
  <c r="G15"/>
  <c r="G14" s="1"/>
  <c r="E19"/>
  <c r="E14"/>
  <c r="G15" i="11" s="1"/>
  <c r="S15" s="1"/>
  <c r="F4" i="4"/>
  <c r="G5"/>
  <c r="G4" s="1"/>
  <c r="J21" i="7" l="1"/>
  <c r="I36" i="11"/>
  <c r="I16"/>
  <c r="U16" s="1"/>
  <c r="I16" i="3"/>
  <c r="U16" s="1"/>
  <c r="I40" i="11"/>
  <c r="U33" s="1"/>
  <c r="I12"/>
  <c r="I41" i="3"/>
  <c r="U34" s="1"/>
  <c r="I15"/>
  <c r="U15" s="1"/>
  <c r="I15" i="11"/>
  <c r="U15" s="1"/>
  <c r="U30" i="9"/>
  <c r="U35" s="1"/>
  <c r="I18"/>
  <c r="J33" i="7"/>
  <c r="V29" i="11"/>
  <c r="V21"/>
  <c r="T29" i="3"/>
  <c r="J29" i="11"/>
  <c r="S40" i="6"/>
  <c r="T25" i="11"/>
  <c r="U31" i="6"/>
  <c r="U36" s="1"/>
  <c r="G41"/>
  <c r="J47" i="7"/>
  <c r="J34"/>
  <c r="V24" i="6"/>
  <c r="G18"/>
  <c r="V22" i="11"/>
  <c r="H41" i="3"/>
  <c r="T34" s="1"/>
  <c r="H40" i="11"/>
  <c r="T33" s="1"/>
  <c r="H12"/>
  <c r="G36"/>
  <c r="G16"/>
  <c r="H16"/>
  <c r="T16" s="1"/>
  <c r="H36"/>
  <c r="J32" i="8"/>
  <c r="U18" i="9"/>
  <c r="G40" i="11"/>
  <c r="G12"/>
  <c r="I18" i="7"/>
  <c r="U10" i="8"/>
  <c r="S28" i="3"/>
  <c r="V28" s="1"/>
  <c r="S25" i="11"/>
  <c r="J34" i="8"/>
  <c r="S12" i="6"/>
  <c r="S18" s="1"/>
  <c r="V32"/>
  <c r="S30" i="3"/>
  <c r="V30" s="1"/>
  <c r="J33"/>
  <c r="U18" i="8"/>
  <c r="J45"/>
  <c r="U18" i="6"/>
  <c r="I18" i="8"/>
  <c r="T12"/>
  <c r="J32" i="7"/>
  <c r="S26" i="8"/>
  <c r="V26" s="1"/>
  <c r="J39" i="6"/>
  <c r="S27" i="8"/>
  <c r="V27" s="1"/>
  <c r="S27" i="7"/>
  <c r="V27" s="1"/>
  <c r="V21" i="6"/>
  <c r="J46"/>
  <c r="I18"/>
  <c r="I47" s="1"/>
  <c r="T29" i="8"/>
  <c r="V29" s="1"/>
  <c r="J33" i="6"/>
  <c r="D76" i="4"/>
  <c r="H12" i="6"/>
  <c r="J12" s="1"/>
  <c r="S26" i="7"/>
  <c r="V26" s="1"/>
  <c r="S26" i="3"/>
  <c r="V26" s="1"/>
  <c r="H15" i="6"/>
  <c r="T15" s="1"/>
  <c r="V15" s="1"/>
  <c r="J10" i="9"/>
  <c r="J47"/>
  <c r="D110" i="4"/>
  <c r="H15" i="9"/>
  <c r="T15" s="1"/>
  <c r="V15" s="1"/>
  <c r="D115" i="4"/>
  <c r="H16" i="9"/>
  <c r="J16" s="1"/>
  <c r="H36"/>
  <c r="T30" s="1"/>
  <c r="H12"/>
  <c r="H40"/>
  <c r="G12"/>
  <c r="G18" s="1"/>
  <c r="G40"/>
  <c r="S33" s="1"/>
  <c r="T21"/>
  <c r="T22" i="6"/>
  <c r="V22" s="1"/>
  <c r="S10"/>
  <c r="S30"/>
  <c r="V30" s="1"/>
  <c r="V28" i="9"/>
  <c r="G29"/>
  <c r="J22"/>
  <c r="V31"/>
  <c r="S21"/>
  <c r="V26"/>
  <c r="T16"/>
  <c r="V16" s="1"/>
  <c r="S39"/>
  <c r="H25"/>
  <c r="H29" s="1"/>
  <c r="J23"/>
  <c r="S10"/>
  <c r="V8"/>
  <c r="V10" s="1"/>
  <c r="V36"/>
  <c r="V39" s="1"/>
  <c r="V11"/>
  <c r="V19"/>
  <c r="S20"/>
  <c r="V20" s="1"/>
  <c r="V23"/>
  <c r="V37" i="6"/>
  <c r="V40" s="1"/>
  <c r="V10"/>
  <c r="S16" i="8"/>
  <c r="V29" i="7"/>
  <c r="U30"/>
  <c r="U10"/>
  <c r="T23"/>
  <c r="V23" s="1"/>
  <c r="S36" i="8"/>
  <c r="J33"/>
  <c r="H36"/>
  <c r="J36" s="1"/>
  <c r="D62" i="4"/>
  <c r="H16" i="8"/>
  <c r="J16" s="1"/>
  <c r="H24"/>
  <c r="J12"/>
  <c r="S15" i="7"/>
  <c r="J30"/>
  <c r="V23" i="8"/>
  <c r="J20" i="3"/>
  <c r="D43" i="4"/>
  <c r="J20" i="7"/>
  <c r="V33" i="8"/>
  <c r="V36" s="1"/>
  <c r="V31"/>
  <c r="U30"/>
  <c r="U32" s="1"/>
  <c r="S21"/>
  <c r="G25"/>
  <c r="J25" s="1"/>
  <c r="S20"/>
  <c r="V20" s="1"/>
  <c r="S12"/>
  <c r="V19"/>
  <c r="S10"/>
  <c r="V8"/>
  <c r="V10" s="1"/>
  <c r="V28"/>
  <c r="J22" i="7"/>
  <c r="V20"/>
  <c r="S11"/>
  <c r="V11" s="1"/>
  <c r="G29"/>
  <c r="S40" i="3"/>
  <c r="H36" i="7"/>
  <c r="D38" i="4"/>
  <c r="H15" i="7"/>
  <c r="D28" i="4"/>
  <c r="H12" i="7"/>
  <c r="H40"/>
  <c r="U10" i="3"/>
  <c r="S21" i="7"/>
  <c r="H24"/>
  <c r="H29" s="1"/>
  <c r="T16"/>
  <c r="V36"/>
  <c r="V39" s="1"/>
  <c r="V31"/>
  <c r="T22"/>
  <c r="V28"/>
  <c r="G16" i="3"/>
  <c r="S16" s="1"/>
  <c r="G41"/>
  <c r="S34" s="1"/>
  <c r="F12" i="4"/>
  <c r="F9" s="1"/>
  <c r="D9" s="1"/>
  <c r="F33"/>
  <c r="D33" s="1"/>
  <c r="H16" i="3"/>
  <c r="T16" s="1"/>
  <c r="S16" i="7"/>
  <c r="J16"/>
  <c r="S39"/>
  <c r="U33"/>
  <c r="S10"/>
  <c r="V8"/>
  <c r="V10" s="1"/>
  <c r="V19"/>
  <c r="U18"/>
  <c r="J25"/>
  <c r="S22"/>
  <c r="V23" i="3"/>
  <c r="V20"/>
  <c r="V11"/>
  <c r="V32"/>
  <c r="V8"/>
  <c r="V10" s="1"/>
  <c r="V37"/>
  <c r="G25"/>
  <c r="S22" s="1"/>
  <c r="S25" s="1"/>
  <c r="J22"/>
  <c r="V19"/>
  <c r="J10"/>
  <c r="H25"/>
  <c r="T22" s="1"/>
  <c r="T21"/>
  <c r="D100" i="4"/>
  <c r="G26" i="6"/>
  <c r="G29" s="1"/>
  <c r="J23"/>
  <c r="H26"/>
  <c r="J24"/>
  <c r="D105" i="4"/>
  <c r="I37" i="3"/>
  <c r="I12"/>
  <c r="V38"/>
  <c r="G15"/>
  <c r="G12"/>
  <c r="H12"/>
  <c r="G37"/>
  <c r="S31" s="1"/>
  <c r="H37"/>
  <c r="D4" i="4"/>
  <c r="F14"/>
  <c r="H15" i="11" s="1"/>
  <c r="T15" s="1"/>
  <c r="D19" i="4"/>
  <c r="G47" i="6" l="1"/>
  <c r="V25" i="11"/>
  <c r="U12"/>
  <c r="U18" s="1"/>
  <c r="I18"/>
  <c r="U30"/>
  <c r="U35" s="1"/>
  <c r="I42"/>
  <c r="V30" i="9"/>
  <c r="U40"/>
  <c r="U41" i="6"/>
  <c r="U37" i="8"/>
  <c r="V16" i="3"/>
  <c r="S16" i="11"/>
  <c r="V16" s="1"/>
  <c r="J16"/>
  <c r="S12"/>
  <c r="J12"/>
  <c r="G18"/>
  <c r="T30"/>
  <c r="T35" s="1"/>
  <c r="H42"/>
  <c r="S30"/>
  <c r="G42"/>
  <c r="J36"/>
  <c r="T25" i="3"/>
  <c r="V34"/>
  <c r="J40" i="8"/>
  <c r="H42" i="7"/>
  <c r="H40" i="8"/>
  <c r="J15" i="11"/>
  <c r="V15"/>
  <c r="S33"/>
  <c r="V33" s="1"/>
  <c r="J40"/>
  <c r="T12"/>
  <c r="T18" s="1"/>
  <c r="H18"/>
  <c r="T12" i="6"/>
  <c r="V12" s="1"/>
  <c r="H18" i="8"/>
  <c r="T31" i="3"/>
  <c r="T36" s="1"/>
  <c r="H43"/>
  <c r="V29"/>
  <c r="U35" i="7"/>
  <c r="U40" s="1"/>
  <c r="G42" i="9"/>
  <c r="J40"/>
  <c r="J12" i="7"/>
  <c r="H18"/>
  <c r="U31" i="3"/>
  <c r="U36" s="1"/>
  <c r="I43"/>
  <c r="T23" i="6"/>
  <c r="T26" s="1"/>
  <c r="H29"/>
  <c r="J24" i="8"/>
  <c r="J29" s="1"/>
  <c r="H29"/>
  <c r="J15" i="6"/>
  <c r="J36" i="9"/>
  <c r="J15"/>
  <c r="H18"/>
  <c r="T12"/>
  <c r="T18" s="1"/>
  <c r="H42"/>
  <c r="T33"/>
  <c r="S12"/>
  <c r="J12"/>
  <c r="V21"/>
  <c r="S23" i="6"/>
  <c r="S26" s="1"/>
  <c r="S36"/>
  <c r="S35" i="9"/>
  <c r="S25"/>
  <c r="T22"/>
  <c r="T25" s="1"/>
  <c r="J25"/>
  <c r="J29" s="1"/>
  <c r="T21" i="8"/>
  <c r="T25" s="1"/>
  <c r="T30"/>
  <c r="T32" s="1"/>
  <c r="G29"/>
  <c r="J24" i="7"/>
  <c r="J29" s="1"/>
  <c r="T16" i="8"/>
  <c r="V16" s="1"/>
  <c r="S22"/>
  <c r="V22" s="1"/>
  <c r="T15"/>
  <c r="S15"/>
  <c r="S18" s="1"/>
  <c r="J15"/>
  <c r="J18" s="1"/>
  <c r="G40"/>
  <c r="S30"/>
  <c r="G18"/>
  <c r="J41" i="3"/>
  <c r="T21" i="7"/>
  <c r="T25" s="1"/>
  <c r="V12" i="8"/>
  <c r="V16" i="7"/>
  <c r="T15"/>
  <c r="V15" s="1"/>
  <c r="J16" i="3"/>
  <c r="V22" i="7"/>
  <c r="S12"/>
  <c r="G18"/>
  <c r="T12"/>
  <c r="J36"/>
  <c r="G42"/>
  <c r="S30"/>
  <c r="G29" i="3"/>
  <c r="T30" i="7"/>
  <c r="J40"/>
  <c r="T33"/>
  <c r="J15"/>
  <c r="S25"/>
  <c r="V40" i="3"/>
  <c r="V21"/>
  <c r="V22"/>
  <c r="S36"/>
  <c r="J12"/>
  <c r="S15"/>
  <c r="J37"/>
  <c r="G43"/>
  <c r="J25"/>
  <c r="J29" s="1"/>
  <c r="S12"/>
  <c r="G18"/>
  <c r="T12"/>
  <c r="H29"/>
  <c r="U12"/>
  <c r="U18" s="1"/>
  <c r="I18"/>
  <c r="J26" i="6"/>
  <c r="J29" s="1"/>
  <c r="D14" i="4"/>
  <c r="H15" i="3"/>
  <c r="H18" s="1"/>
  <c r="U40" i="11" l="1"/>
  <c r="T35" i="7"/>
  <c r="J42"/>
  <c r="V12" i="11"/>
  <c r="V18" s="1"/>
  <c r="S18"/>
  <c r="J42"/>
  <c r="J18"/>
  <c r="S35"/>
  <c r="V30"/>
  <c r="V35" s="1"/>
  <c r="T40"/>
  <c r="J42" i="9"/>
  <c r="J43" i="3"/>
  <c r="V25"/>
  <c r="T18" i="8"/>
  <c r="T37" s="1"/>
  <c r="J18" i="9"/>
  <c r="J18" i="7"/>
  <c r="V23" i="6"/>
  <c r="V26" s="1"/>
  <c r="U41" i="3"/>
  <c r="V12" i="9"/>
  <c r="V18" s="1"/>
  <c r="S18"/>
  <c r="S40" s="1"/>
  <c r="T35"/>
  <c r="T40" s="1"/>
  <c r="V33"/>
  <c r="V35" s="1"/>
  <c r="S41" i="6"/>
  <c r="V22" i="9"/>
  <c r="V25" s="1"/>
  <c r="V21" i="8"/>
  <c r="V25" s="1"/>
  <c r="S25"/>
  <c r="S32"/>
  <c r="V30"/>
  <c r="V32" s="1"/>
  <c r="V21" i="7"/>
  <c r="V25" s="1"/>
  <c r="V15" i="8"/>
  <c r="V18" s="1"/>
  <c r="V33" i="7"/>
  <c r="T18"/>
  <c r="V12"/>
  <c r="V18" s="1"/>
  <c r="S18"/>
  <c r="S35"/>
  <c r="V30"/>
  <c r="V31" i="3"/>
  <c r="V36" s="1"/>
  <c r="V12"/>
  <c r="S18"/>
  <c r="S41" s="1"/>
  <c r="J15"/>
  <c r="T15"/>
  <c r="V15" s="1"/>
  <c r="T40" i="7" l="1"/>
  <c r="S40" i="11"/>
  <c r="V40"/>
  <c r="V35" i="7"/>
  <c r="V40" s="1"/>
  <c r="V37" i="8"/>
  <c r="V40" i="9"/>
  <c r="S37" i="8"/>
  <c r="V42" i="6"/>
  <c r="V44" s="1"/>
  <c r="V41" i="9"/>
  <c r="V43" s="1"/>
  <c r="S40" i="7"/>
  <c r="V42" i="3"/>
  <c r="V44" s="1"/>
  <c r="T18"/>
  <c r="T41" s="1"/>
  <c r="V18"/>
  <c r="V41" s="1"/>
  <c r="J18"/>
  <c r="V43" l="1"/>
  <c r="V42" i="9"/>
  <c r="V44" s="1"/>
  <c r="V45" s="1"/>
  <c r="V41" i="11"/>
  <c r="V43" s="1"/>
  <c r="V38" i="8"/>
  <c r="V40" s="1"/>
  <c r="V41" i="7"/>
  <c r="V43" s="1"/>
  <c r="V42" i="11" l="1"/>
  <c r="V44" s="1"/>
  <c r="V45" s="1"/>
  <c r="V39" i="8"/>
  <c r="V41" s="1"/>
  <c r="V42" s="1"/>
  <c r="V42" i="7"/>
  <c r="V44" s="1"/>
  <c r="V45" s="1"/>
  <c r="V45" i="3"/>
  <c r="V46" s="1"/>
  <c r="F91" i="4"/>
  <c r="D91" l="1"/>
  <c r="H35" i="6"/>
  <c r="H16"/>
  <c r="T31" l="1"/>
  <c r="H41"/>
  <c r="J35"/>
  <c r="J41" s="1"/>
  <c r="T16"/>
  <c r="J16"/>
  <c r="J18" s="1"/>
  <c r="H18"/>
  <c r="H47" l="1"/>
  <c r="T36"/>
  <c r="V31"/>
  <c r="V36" s="1"/>
  <c r="V16"/>
  <c r="V18" s="1"/>
  <c r="T18"/>
  <c r="J47"/>
  <c r="V41" l="1"/>
  <c r="T41"/>
  <c r="V43" s="1"/>
  <c r="V45" l="1"/>
  <c r="V46" s="1"/>
</calcChain>
</file>

<file path=xl/sharedStrings.xml><?xml version="1.0" encoding="utf-8"?>
<sst xmlns="http://schemas.openxmlformats.org/spreadsheetml/2006/main" count="2508" uniqueCount="371">
  <si>
    <t>작업종</t>
    <phoneticPr fontId="2" type="noConversion"/>
  </si>
  <si>
    <t>기반시설</t>
    <phoneticPr fontId="2" type="noConversion"/>
  </si>
  <si>
    <t>임도개설</t>
    <phoneticPr fontId="2" type="noConversion"/>
  </si>
  <si>
    <t>임도보수</t>
    <phoneticPr fontId="2" type="noConversion"/>
  </si>
  <si>
    <t>조림준비</t>
    <phoneticPr fontId="2" type="noConversion"/>
  </si>
  <si>
    <t>경영계획</t>
    <phoneticPr fontId="2" type="noConversion"/>
  </si>
  <si>
    <t>지장목제거(교목)</t>
    <phoneticPr fontId="2" type="noConversion"/>
  </si>
  <si>
    <t>지장목제거(관목)</t>
    <phoneticPr fontId="2" type="noConversion"/>
  </si>
  <si>
    <t>임지잔재정리</t>
    <phoneticPr fontId="2" type="noConversion"/>
  </si>
  <si>
    <t xml:space="preserve">조림 </t>
    <phoneticPr fontId="2" type="noConversion"/>
  </si>
  <si>
    <t>조림구획</t>
    <phoneticPr fontId="2" type="noConversion"/>
  </si>
  <si>
    <t>묘목식재</t>
    <phoneticPr fontId="2" type="noConversion"/>
  </si>
  <si>
    <t>보식</t>
    <phoneticPr fontId="2" type="noConversion"/>
  </si>
  <si>
    <t>육림</t>
    <phoneticPr fontId="2" type="noConversion"/>
  </si>
  <si>
    <t>풀베기(모두베기)</t>
    <phoneticPr fontId="2" type="noConversion"/>
  </si>
  <si>
    <t>풀베기(줄베기)</t>
    <phoneticPr fontId="2" type="noConversion"/>
  </si>
  <si>
    <t>비료주기</t>
    <phoneticPr fontId="2" type="noConversion"/>
  </si>
  <si>
    <t>제초제살포</t>
    <phoneticPr fontId="2" type="noConversion"/>
  </si>
  <si>
    <t>토양갈음</t>
    <phoneticPr fontId="2" type="noConversion"/>
  </si>
  <si>
    <t>병해충방제</t>
    <phoneticPr fontId="2" type="noConversion"/>
  </si>
  <si>
    <t>단위</t>
    <phoneticPr fontId="2" type="noConversion"/>
  </si>
  <si>
    <t>수량</t>
    <phoneticPr fontId="2" type="noConversion"/>
  </si>
  <si>
    <t>m</t>
    <phoneticPr fontId="2" type="noConversion"/>
  </si>
  <si>
    <t>투입요소</t>
    <phoneticPr fontId="2" type="noConversion"/>
  </si>
  <si>
    <t>구  분</t>
    <phoneticPr fontId="2" type="noConversion"/>
  </si>
  <si>
    <t>굴삭기</t>
    <phoneticPr fontId="2" type="noConversion"/>
  </si>
  <si>
    <t>기계톱</t>
    <phoneticPr fontId="2" type="noConversion"/>
  </si>
  <si>
    <t>인력</t>
    <phoneticPr fontId="2" type="noConversion"/>
  </si>
  <si>
    <t>노무비</t>
    <phoneticPr fontId="2" type="noConversion"/>
  </si>
  <si>
    <t>재료비</t>
    <phoneticPr fontId="2" type="noConversion"/>
  </si>
  <si>
    <t>경비</t>
    <phoneticPr fontId="2" type="noConversion"/>
  </si>
  <si>
    <t>인/100본</t>
    <phoneticPr fontId="2" type="noConversion"/>
  </si>
  <si>
    <t>명  칭</t>
    <phoneticPr fontId="2" type="noConversion"/>
  </si>
  <si>
    <t>45CC</t>
    <phoneticPr fontId="2" type="noConversion"/>
  </si>
  <si>
    <t>산출근거</t>
    <phoneticPr fontId="2" type="noConversion"/>
  </si>
  <si>
    <t>합  계</t>
    <phoneticPr fontId="2" type="noConversion"/>
  </si>
  <si>
    <t>노무비</t>
    <phoneticPr fontId="2" type="noConversion"/>
  </si>
  <si>
    <t>재료비</t>
    <phoneticPr fontId="2" type="noConversion"/>
  </si>
  <si>
    <t>경비</t>
    <phoneticPr fontId="2" type="noConversion"/>
  </si>
  <si>
    <t>1. 기계톱</t>
    <phoneticPr fontId="2" type="noConversion"/>
  </si>
  <si>
    <t>손  료</t>
    <phoneticPr fontId="2" type="noConversion"/>
  </si>
  <si>
    <t>주연료</t>
    <phoneticPr fontId="2" type="noConversion"/>
  </si>
  <si>
    <t>잡  품</t>
    <phoneticPr fontId="2" type="noConversion"/>
  </si>
  <si>
    <t>규  격</t>
    <phoneticPr fontId="2" type="noConversion"/>
  </si>
  <si>
    <t>경유</t>
  </si>
  <si>
    <t>경유</t>
    <phoneticPr fontId="2" type="noConversion"/>
  </si>
  <si>
    <t>주연료의</t>
    <phoneticPr fontId="2" type="noConversion"/>
  </si>
  <si>
    <t>휘발유</t>
  </si>
  <si>
    <t>휘발유</t>
    <phoneticPr fontId="2" type="noConversion"/>
  </si>
  <si>
    <t>ℓ</t>
  </si>
  <si>
    <t>$910×0.0084</t>
    <phoneticPr fontId="2" type="noConversion"/>
  </si>
  <si>
    <t>특별인부</t>
    <phoneticPr fontId="2" type="noConversion"/>
  </si>
  <si>
    <t>장비기사</t>
    <phoneticPr fontId="2" type="noConversion"/>
  </si>
  <si>
    <t>비료</t>
  </si>
  <si>
    <t>제초제</t>
  </si>
  <si>
    <t>2. 굴삭기</t>
    <phoneticPr fontId="2" type="noConversion"/>
  </si>
  <si>
    <r>
      <t>0.6</t>
    </r>
    <r>
      <rPr>
        <sz val="12"/>
        <color theme="1"/>
        <rFont val="맑은 고딕"/>
        <family val="3"/>
        <charset val="129"/>
      </rPr>
      <t>㎥</t>
    </r>
    <phoneticPr fontId="2" type="noConversion"/>
  </si>
  <si>
    <t>$80,658×0.0016</t>
    <phoneticPr fontId="2" type="noConversion"/>
  </si>
  <si>
    <t>대형</t>
    <phoneticPr fontId="2" type="noConversion"/>
  </si>
  <si>
    <t>$54,581×0.0008</t>
    <phoneticPr fontId="2" type="noConversion"/>
  </si>
  <si>
    <t>81.6ℓ×경유단가</t>
    <phoneticPr fontId="2" type="noConversion"/>
  </si>
  <si>
    <t>5.6ℓ×휘발유단가</t>
    <phoneticPr fontId="2" type="noConversion"/>
  </si>
  <si>
    <t>26.0ℓ×경유단가</t>
    <phoneticPr fontId="2" type="noConversion"/>
  </si>
  <si>
    <t>기 계 경 비</t>
    <phoneticPr fontId="2" type="noConversion"/>
  </si>
  <si>
    <t>계</t>
    <phoneticPr fontId="2" type="noConversion"/>
  </si>
  <si>
    <t>묘목</t>
    <phoneticPr fontId="2" type="noConversion"/>
  </si>
  <si>
    <t>본</t>
    <phoneticPr fontId="2" type="noConversion"/>
  </si>
  <si>
    <t>묘목</t>
    <phoneticPr fontId="2" type="noConversion"/>
  </si>
  <si>
    <t>풀베기(둘레베기)</t>
    <phoneticPr fontId="2" type="noConversion"/>
  </si>
  <si>
    <t>인/회</t>
    <phoneticPr fontId="2" type="noConversion"/>
  </si>
  <si>
    <t>횟수</t>
    <phoneticPr fontId="2" type="noConversion"/>
  </si>
  <si>
    <t>약제</t>
    <phoneticPr fontId="2" type="noConversion"/>
  </si>
  <si>
    <t>비료</t>
    <phoneticPr fontId="2" type="noConversion"/>
  </si>
  <si>
    <t>㎏</t>
    <phoneticPr fontId="2" type="noConversion"/>
  </si>
  <si>
    <t>트랙터</t>
    <phoneticPr fontId="2" type="noConversion"/>
  </si>
  <si>
    <r>
      <t>인/100</t>
    </r>
    <r>
      <rPr>
        <sz val="10"/>
        <color theme="1"/>
        <rFont val="맑은 고딕"/>
        <family val="3"/>
        <charset val="129"/>
      </rPr>
      <t>㎏</t>
    </r>
    <phoneticPr fontId="2" type="noConversion"/>
  </si>
  <si>
    <t>산불예방</t>
    <phoneticPr fontId="2" type="noConversion"/>
  </si>
  <si>
    <t>조림지</t>
    <phoneticPr fontId="2" type="noConversion"/>
  </si>
  <si>
    <t>관  리</t>
    <phoneticPr fontId="2" type="noConversion"/>
  </si>
  <si>
    <t>소    계</t>
    <phoneticPr fontId="2" type="noConversion"/>
  </si>
  <si>
    <t>고정</t>
    <phoneticPr fontId="2" type="noConversion"/>
  </si>
  <si>
    <t>개설의 10%</t>
    <phoneticPr fontId="2" type="noConversion"/>
  </si>
  <si>
    <t>작업종</t>
    <phoneticPr fontId="2" type="noConversion"/>
  </si>
  <si>
    <t>투입요소</t>
    <phoneticPr fontId="2" type="noConversion"/>
  </si>
  <si>
    <t>단위</t>
    <phoneticPr fontId="2" type="noConversion"/>
  </si>
  <si>
    <t>지장목제거(교목)</t>
    <phoneticPr fontId="2" type="noConversion"/>
  </si>
  <si>
    <t>대</t>
    <phoneticPr fontId="2" type="noConversion"/>
  </si>
  <si>
    <t>지장목제거(관목)</t>
    <phoneticPr fontId="2" type="noConversion"/>
  </si>
  <si>
    <t>인력</t>
    <phoneticPr fontId="2" type="noConversion"/>
  </si>
  <si>
    <t>인</t>
    <phoneticPr fontId="2" type="noConversion"/>
  </si>
  <si>
    <t>임지잔재정리</t>
    <phoneticPr fontId="2" type="noConversion"/>
  </si>
  <si>
    <t>굴삭기</t>
    <phoneticPr fontId="2" type="noConversion"/>
  </si>
  <si>
    <t>불태우기</t>
    <phoneticPr fontId="2" type="noConversion"/>
  </si>
  <si>
    <t>조림구획</t>
    <phoneticPr fontId="2" type="noConversion"/>
  </si>
  <si>
    <t>묘목식재</t>
    <phoneticPr fontId="2" type="noConversion"/>
  </si>
  <si>
    <t>인/100본</t>
    <phoneticPr fontId="2" type="noConversion"/>
  </si>
  <si>
    <t>묘목</t>
    <phoneticPr fontId="2" type="noConversion"/>
  </si>
  <si>
    <t>풀베기(모두베기)</t>
    <phoneticPr fontId="2" type="noConversion"/>
  </si>
  <si>
    <t>제초제살포</t>
    <phoneticPr fontId="2" type="noConversion"/>
  </si>
  <si>
    <t>약제</t>
    <phoneticPr fontId="2" type="noConversion"/>
  </si>
  <si>
    <t>ℓ/회</t>
    <phoneticPr fontId="2" type="noConversion"/>
  </si>
  <si>
    <t>비료주기</t>
    <phoneticPr fontId="2" type="noConversion"/>
  </si>
  <si>
    <t>인/100㎏</t>
    <phoneticPr fontId="2" type="noConversion"/>
  </si>
  <si>
    <t>비료</t>
    <phoneticPr fontId="2" type="noConversion"/>
  </si>
  <si>
    <t>㎏</t>
    <phoneticPr fontId="2" type="noConversion"/>
  </si>
  <si>
    <t>토양갈음</t>
    <phoneticPr fontId="2" type="noConversion"/>
  </si>
  <si>
    <t>트랙터</t>
    <phoneticPr fontId="2" type="noConversion"/>
  </si>
  <si>
    <t>병해충방제</t>
    <phoneticPr fontId="2" type="noConversion"/>
  </si>
  <si>
    <t>산불예방</t>
    <phoneticPr fontId="2" type="noConversion"/>
  </si>
  <si>
    <t>산업조림(장기수)</t>
    <phoneticPr fontId="2" type="noConversion"/>
  </si>
  <si>
    <t>100본으로 환산적용</t>
    <phoneticPr fontId="2" type="noConversion"/>
  </si>
  <si>
    <t xml:space="preserve">단가산출내역서 </t>
    <phoneticPr fontId="2" type="noConversion"/>
  </si>
  <si>
    <t>일반관리비</t>
    <phoneticPr fontId="2" type="noConversion"/>
  </si>
  <si>
    <t>적용</t>
    <phoneticPr fontId="2" type="noConversion"/>
  </si>
  <si>
    <t>직접노무비의</t>
    <phoneticPr fontId="2" type="noConversion"/>
  </si>
  <si>
    <t>재료비+노무비+경비의</t>
    <phoneticPr fontId="2" type="noConversion"/>
  </si>
  <si>
    <t>o 노임단가</t>
    <phoneticPr fontId="2" type="noConversion"/>
  </si>
  <si>
    <t>1. 장기수 조림</t>
    <phoneticPr fontId="2" type="noConversion"/>
  </si>
  <si>
    <t>o 재료비</t>
    <phoneticPr fontId="2" type="noConversion"/>
  </si>
  <si>
    <t>o 간접비</t>
    <phoneticPr fontId="2" type="noConversion"/>
  </si>
  <si>
    <t>사업비 산출내역서</t>
    <phoneticPr fontId="2" type="noConversion"/>
  </si>
  <si>
    <t>ha</t>
    <phoneticPr fontId="2" type="noConversion"/>
  </si>
  <si>
    <t>간접노무비</t>
    <phoneticPr fontId="2" type="noConversion"/>
  </si>
  <si>
    <t>일반관리비</t>
    <phoneticPr fontId="2" type="noConversion"/>
  </si>
  <si>
    <t>간접비</t>
    <phoneticPr fontId="2" type="noConversion"/>
  </si>
  <si>
    <t>사업비 총계</t>
    <phoneticPr fontId="2" type="noConversion"/>
  </si>
  <si>
    <t>* 사업면적 1,000ha. 임도밀도 40m 의 경우</t>
    <phoneticPr fontId="2" type="noConversion"/>
  </si>
  <si>
    <t>보통인부</t>
    <phoneticPr fontId="2" type="noConversion"/>
  </si>
  <si>
    <t>특별인부</t>
    <phoneticPr fontId="2" type="noConversion"/>
  </si>
  <si>
    <t>장비기사</t>
    <phoneticPr fontId="2" type="noConversion"/>
  </si>
  <si>
    <t>50㎏</t>
    <phoneticPr fontId="2" type="noConversion"/>
  </si>
  <si>
    <t>ℓ</t>
    <phoneticPr fontId="2" type="noConversion"/>
  </si>
  <si>
    <t>본</t>
    <phoneticPr fontId="2" type="noConversion"/>
  </si>
  <si>
    <t>명칭</t>
    <phoneticPr fontId="2" type="noConversion"/>
  </si>
  <si>
    <t>단위</t>
    <phoneticPr fontId="2" type="noConversion"/>
  </si>
  <si>
    <t>단가(U$)</t>
    <phoneticPr fontId="2" type="noConversion"/>
  </si>
  <si>
    <t>구  분</t>
    <phoneticPr fontId="2" type="noConversion"/>
  </si>
  <si>
    <t>율</t>
    <phoneticPr fontId="2" type="noConversion"/>
  </si>
  <si>
    <t>간접노무비</t>
    <phoneticPr fontId="2" type="noConversion"/>
  </si>
  <si>
    <t>보험료</t>
    <phoneticPr fontId="2" type="noConversion"/>
  </si>
  <si>
    <t>노무비의</t>
    <phoneticPr fontId="2" type="noConversion"/>
  </si>
  <si>
    <t>%</t>
    <phoneticPr fontId="2" type="noConversion"/>
  </si>
  <si>
    <t>표시봉</t>
    <phoneticPr fontId="2" type="noConversion"/>
  </si>
  <si>
    <t>표시봉</t>
    <phoneticPr fontId="2" type="noConversion"/>
  </si>
  <si>
    <t>울타리설치</t>
    <phoneticPr fontId="2" type="noConversion"/>
  </si>
  <si>
    <t>보험료</t>
    <phoneticPr fontId="2" type="noConversion"/>
  </si>
  <si>
    <t>팜유나무 조림</t>
    <phoneticPr fontId="2" type="noConversion"/>
  </si>
  <si>
    <t>100개</t>
    <phoneticPr fontId="2" type="noConversion"/>
  </si>
  <si>
    <t>지피식물식재</t>
    <phoneticPr fontId="2" type="noConversion"/>
  </si>
  <si>
    <t>지피식물식재</t>
    <phoneticPr fontId="2" type="noConversion"/>
  </si>
  <si>
    <t>종자</t>
    <phoneticPr fontId="2" type="noConversion"/>
  </si>
  <si>
    <t>지피식물</t>
    <phoneticPr fontId="2" type="noConversion"/>
  </si>
  <si>
    <t>㎏</t>
    <phoneticPr fontId="2" type="noConversion"/>
  </si>
  <si>
    <t>농약</t>
    <phoneticPr fontId="2" type="noConversion"/>
  </si>
  <si>
    <t>비료</t>
    <phoneticPr fontId="2" type="noConversion"/>
  </si>
  <si>
    <t>움싹제거</t>
    <phoneticPr fontId="2" type="noConversion"/>
  </si>
  <si>
    <t>경운기</t>
    <phoneticPr fontId="2" type="noConversion"/>
  </si>
  <si>
    <t>복합비료</t>
    <phoneticPr fontId="2" type="noConversion"/>
  </si>
  <si>
    <t>㎏</t>
    <phoneticPr fontId="2" type="noConversion"/>
  </si>
  <si>
    <t>명칭</t>
    <phoneticPr fontId="2" type="noConversion"/>
  </si>
  <si>
    <t>단위</t>
    <phoneticPr fontId="2" type="noConversion"/>
  </si>
  <si>
    <t>단가(U$)</t>
    <phoneticPr fontId="2" type="noConversion"/>
  </si>
  <si>
    <t>50㎏</t>
    <phoneticPr fontId="2" type="noConversion"/>
  </si>
  <si>
    <t>인광석</t>
    <phoneticPr fontId="2" type="noConversion"/>
  </si>
  <si>
    <t>ℓ</t>
    <phoneticPr fontId="2" type="noConversion"/>
  </si>
  <si>
    <t>묘목</t>
    <phoneticPr fontId="2" type="noConversion"/>
  </si>
  <si>
    <t>본</t>
    <phoneticPr fontId="2" type="noConversion"/>
  </si>
  <si>
    <t>표시봉</t>
    <phoneticPr fontId="2" type="noConversion"/>
  </si>
  <si>
    <t>100개</t>
    <phoneticPr fontId="2" type="noConversion"/>
  </si>
  <si>
    <t>움싹제거</t>
    <phoneticPr fontId="2" type="noConversion"/>
  </si>
  <si>
    <t>식재구덩이파기</t>
    <phoneticPr fontId="2" type="noConversion"/>
  </si>
  <si>
    <t>바이오매스 조림</t>
    <phoneticPr fontId="2" type="noConversion"/>
  </si>
  <si>
    <t>배수로보수</t>
    <phoneticPr fontId="2" type="noConversion"/>
  </si>
  <si>
    <t>배수로개설</t>
    <phoneticPr fontId="2" type="noConversion"/>
  </si>
  <si>
    <t>기  타</t>
    <phoneticPr fontId="2" type="noConversion"/>
  </si>
  <si>
    <t>기  타</t>
    <phoneticPr fontId="2" type="noConversion"/>
  </si>
  <si>
    <t>기비 시비</t>
    <phoneticPr fontId="2" type="noConversion"/>
  </si>
  <si>
    <t>덩굴제거</t>
    <phoneticPr fontId="2" type="noConversion"/>
  </si>
  <si>
    <t>약제</t>
    <phoneticPr fontId="2" type="noConversion"/>
  </si>
  <si>
    <t>가지치기</t>
    <phoneticPr fontId="2" type="noConversion"/>
  </si>
  <si>
    <t>3. 굴삭기</t>
    <phoneticPr fontId="2" type="noConversion"/>
  </si>
  <si>
    <t>4. 트랙터</t>
    <phoneticPr fontId="2" type="noConversion"/>
  </si>
  <si>
    <r>
      <t>0.2</t>
    </r>
    <r>
      <rPr>
        <sz val="12"/>
        <color theme="1"/>
        <rFont val="맑은 고딕"/>
        <family val="3"/>
        <charset val="129"/>
      </rPr>
      <t>㎥</t>
    </r>
    <phoneticPr fontId="2" type="noConversion"/>
  </si>
  <si>
    <t>$50,221×0.0016</t>
    <phoneticPr fontId="2" type="noConversion"/>
  </si>
  <si>
    <t>40.0ℓ×경유단가</t>
    <phoneticPr fontId="2" type="noConversion"/>
  </si>
  <si>
    <t>3. 트랙터</t>
    <phoneticPr fontId="2" type="noConversion"/>
  </si>
  <si>
    <t>예취기</t>
    <phoneticPr fontId="2" type="noConversion"/>
  </si>
  <si>
    <t>2. 예취기</t>
    <phoneticPr fontId="2" type="noConversion"/>
  </si>
  <si>
    <t>35CC</t>
    <phoneticPr fontId="2" type="noConversion"/>
  </si>
  <si>
    <t>5.0ℓ×휘발유단가</t>
    <phoneticPr fontId="2" type="noConversion"/>
  </si>
  <si>
    <t>$363×0.0084</t>
    <phoneticPr fontId="2" type="noConversion"/>
  </si>
  <si>
    <t>실시설계</t>
    <phoneticPr fontId="2" type="noConversion"/>
  </si>
  <si>
    <t>지피식물식재</t>
    <phoneticPr fontId="2" type="noConversion"/>
  </si>
  <si>
    <t>종자</t>
    <phoneticPr fontId="2" type="noConversion"/>
  </si>
  <si>
    <t>개설비용의 10%</t>
    <phoneticPr fontId="2" type="noConversion"/>
  </si>
  <si>
    <t>식재비용의 10%</t>
    <phoneticPr fontId="2" type="noConversion"/>
  </si>
  <si>
    <t>배수로개설</t>
    <phoneticPr fontId="2" type="noConversion"/>
  </si>
  <si>
    <t>배수로보수</t>
    <phoneticPr fontId="2" type="noConversion"/>
  </si>
  <si>
    <t>울타리설치</t>
    <phoneticPr fontId="2" type="noConversion"/>
  </si>
  <si>
    <t>표시봉</t>
    <phoneticPr fontId="2" type="noConversion"/>
  </si>
  <si>
    <t>표시봉</t>
    <phoneticPr fontId="2" type="noConversion"/>
  </si>
  <si>
    <t>기  타</t>
    <phoneticPr fontId="2" type="noConversion"/>
  </si>
  <si>
    <t>지장목제거(초본)</t>
    <phoneticPr fontId="2" type="noConversion"/>
  </si>
  <si>
    <t>경  운</t>
    <phoneticPr fontId="2" type="noConversion"/>
  </si>
  <si>
    <t>트랙터</t>
    <phoneticPr fontId="2" type="noConversion"/>
  </si>
  <si>
    <t>기비 시비</t>
    <phoneticPr fontId="2" type="noConversion"/>
  </si>
  <si>
    <t>덩굴제거</t>
    <phoneticPr fontId="2" type="noConversion"/>
  </si>
  <si>
    <t>가지치기</t>
    <phoneticPr fontId="2" type="noConversion"/>
  </si>
  <si>
    <t>간  벌</t>
    <phoneticPr fontId="2" type="noConversion"/>
  </si>
  <si>
    <t>기계톱</t>
    <phoneticPr fontId="2" type="noConversion"/>
  </si>
  <si>
    <t>약제</t>
    <phoneticPr fontId="2" type="noConversion"/>
  </si>
  <si>
    <t>관  리</t>
    <phoneticPr fontId="2" type="noConversion"/>
  </si>
  <si>
    <t xml:space="preserve"> </t>
    <phoneticPr fontId="2" type="noConversion"/>
  </si>
  <si>
    <t>굴삭기</t>
    <phoneticPr fontId="2" type="noConversion"/>
  </si>
  <si>
    <t>ha</t>
    <phoneticPr fontId="2" type="noConversion"/>
  </si>
  <si>
    <t>지피식물식재</t>
    <phoneticPr fontId="2" type="noConversion"/>
  </si>
  <si>
    <t>산업조림(열대장기수, 속성수)</t>
    <phoneticPr fontId="2" type="noConversion"/>
  </si>
  <si>
    <t>임도개설</t>
    <phoneticPr fontId="2" type="noConversion"/>
  </si>
  <si>
    <t>임도보수</t>
    <phoneticPr fontId="2" type="noConversion"/>
  </si>
  <si>
    <t>배수로개설</t>
    <phoneticPr fontId="2" type="noConversion"/>
  </si>
  <si>
    <t>배수로보수</t>
    <phoneticPr fontId="2" type="noConversion"/>
  </si>
  <si>
    <t>울타리설치</t>
    <phoneticPr fontId="2" type="noConversion"/>
  </si>
  <si>
    <t>인/100㎏</t>
    <phoneticPr fontId="2" type="noConversion"/>
  </si>
  <si>
    <t>비료</t>
    <phoneticPr fontId="2" type="noConversion"/>
  </si>
  <si>
    <t>비료</t>
    <phoneticPr fontId="2" type="noConversion"/>
  </si>
  <si>
    <t>㎏</t>
    <phoneticPr fontId="2" type="noConversion"/>
  </si>
  <si>
    <t>간  벌</t>
    <phoneticPr fontId="2" type="noConversion"/>
  </si>
  <si>
    <t>면적(m,ha)</t>
    <phoneticPr fontId="2" type="noConversion"/>
  </si>
  <si>
    <t xml:space="preserve"> </t>
    <phoneticPr fontId="2" type="noConversion"/>
  </si>
  <si>
    <t>보통인부</t>
    <phoneticPr fontId="2" type="noConversion"/>
  </si>
  <si>
    <t>보통인부</t>
    <phoneticPr fontId="2" type="noConversion"/>
  </si>
  <si>
    <r>
      <t>인/</t>
    </r>
    <r>
      <rPr>
        <sz val="10"/>
        <color theme="1"/>
        <rFont val="맑은 고딕"/>
        <family val="3"/>
        <charset val="129"/>
      </rPr>
      <t>㎏</t>
    </r>
    <phoneticPr fontId="2" type="noConversion"/>
  </si>
  <si>
    <t>인/ha</t>
    <phoneticPr fontId="2" type="noConversion"/>
  </si>
  <si>
    <t>인/ha</t>
    <phoneticPr fontId="2" type="noConversion"/>
  </si>
  <si>
    <t>대/ha</t>
    <phoneticPr fontId="2" type="noConversion"/>
  </si>
  <si>
    <t>대/ha</t>
    <phoneticPr fontId="2" type="noConversion"/>
  </si>
  <si>
    <t>㎏/ha</t>
    <phoneticPr fontId="2" type="noConversion"/>
  </si>
  <si>
    <t>본/ha</t>
    <phoneticPr fontId="2" type="noConversion"/>
  </si>
  <si>
    <t>개/ha</t>
    <phoneticPr fontId="2" type="noConversion"/>
  </si>
  <si>
    <t>인/회/ha</t>
    <phoneticPr fontId="2" type="noConversion"/>
  </si>
  <si>
    <t>ℓ/ha</t>
    <phoneticPr fontId="2" type="noConversion"/>
  </si>
  <si>
    <t>인/ha</t>
    <phoneticPr fontId="2" type="noConversion"/>
  </si>
  <si>
    <t>대/ha</t>
    <phoneticPr fontId="2" type="noConversion"/>
  </si>
  <si>
    <t>기계톱</t>
    <phoneticPr fontId="2" type="noConversion"/>
  </si>
  <si>
    <t>작업종</t>
    <phoneticPr fontId="2" type="noConversion"/>
  </si>
  <si>
    <t>투입요소</t>
    <phoneticPr fontId="2" type="noConversion"/>
  </si>
  <si>
    <t>단위</t>
    <phoneticPr fontId="2" type="noConversion"/>
  </si>
  <si>
    <t>단위품</t>
    <phoneticPr fontId="2" type="noConversion"/>
  </si>
  <si>
    <t>불도져</t>
    <phoneticPr fontId="2" type="noConversion"/>
  </si>
  <si>
    <t>지장목제거(교목)</t>
    <phoneticPr fontId="2" type="noConversion"/>
  </si>
  <si>
    <t>기계톱</t>
    <phoneticPr fontId="2" type="noConversion"/>
  </si>
  <si>
    <t>지장목제거(관목)</t>
    <phoneticPr fontId="2" type="noConversion"/>
  </si>
  <si>
    <t>임지잔재정리</t>
    <phoneticPr fontId="2" type="noConversion"/>
  </si>
  <si>
    <t>굴삭기</t>
    <phoneticPr fontId="2" type="noConversion"/>
  </si>
  <si>
    <t>조림구획</t>
    <phoneticPr fontId="2" type="noConversion"/>
  </si>
  <si>
    <t>묘목식재</t>
    <phoneticPr fontId="2" type="noConversion"/>
  </si>
  <si>
    <t>인/100본</t>
    <phoneticPr fontId="2" type="noConversion"/>
  </si>
  <si>
    <t>묘목</t>
    <phoneticPr fontId="2" type="noConversion"/>
  </si>
  <si>
    <t>지피식물식재</t>
    <phoneticPr fontId="2" type="noConversion"/>
  </si>
  <si>
    <t>인/㎏</t>
    <phoneticPr fontId="2" type="noConversion"/>
  </si>
  <si>
    <t>종자</t>
    <phoneticPr fontId="2" type="noConversion"/>
  </si>
  <si>
    <t>풀베기(모두베기)</t>
    <phoneticPr fontId="2" type="noConversion"/>
  </si>
  <si>
    <t>풀베기(둘레베기)</t>
    <phoneticPr fontId="2" type="noConversion"/>
  </si>
  <si>
    <t>제초제살포</t>
    <phoneticPr fontId="2" type="noConversion"/>
  </si>
  <si>
    <t>제초제</t>
    <phoneticPr fontId="2" type="noConversion"/>
  </si>
  <si>
    <t>비료주기</t>
    <phoneticPr fontId="2" type="noConversion"/>
  </si>
  <si>
    <t>토양갈음</t>
    <phoneticPr fontId="2" type="noConversion"/>
  </si>
  <si>
    <t>트랙터</t>
    <phoneticPr fontId="2" type="noConversion"/>
  </si>
  <si>
    <t>덩굴제거</t>
    <phoneticPr fontId="2" type="noConversion"/>
  </si>
  <si>
    <t>병해충방제</t>
    <phoneticPr fontId="2" type="noConversion"/>
  </si>
  <si>
    <t>살충제</t>
    <phoneticPr fontId="2" type="noConversion"/>
  </si>
  <si>
    <t>산불예방</t>
    <phoneticPr fontId="2" type="noConversion"/>
  </si>
  <si>
    <t>인/100본</t>
    <phoneticPr fontId="2" type="noConversion"/>
  </si>
  <si>
    <t>대/100본</t>
    <phoneticPr fontId="2" type="noConversion"/>
  </si>
  <si>
    <t>전면적</t>
    <phoneticPr fontId="2" type="noConversion"/>
  </si>
  <si>
    <t>특별인부</t>
    <phoneticPr fontId="2" type="noConversion"/>
  </si>
  <si>
    <t>경영계획</t>
    <phoneticPr fontId="2" type="noConversion"/>
  </si>
  <si>
    <t>불도져</t>
    <phoneticPr fontId="2" type="noConversion"/>
  </si>
  <si>
    <t>특별인부</t>
    <phoneticPr fontId="2" type="noConversion"/>
  </si>
  <si>
    <t>o 반복작업</t>
    <phoneticPr fontId="2" type="noConversion"/>
  </si>
  <si>
    <t>풀베기</t>
    <phoneticPr fontId="2" type="noConversion"/>
  </si>
  <si>
    <t>작업종</t>
    <phoneticPr fontId="2" type="noConversion"/>
  </si>
  <si>
    <t>비료주기</t>
    <phoneticPr fontId="2" type="noConversion"/>
  </si>
  <si>
    <t>회/년</t>
    <phoneticPr fontId="2" type="noConversion"/>
  </si>
  <si>
    <t>제초제</t>
    <phoneticPr fontId="2" type="noConversion"/>
  </si>
  <si>
    <r>
      <t>인/100</t>
    </r>
    <r>
      <rPr>
        <sz val="10"/>
        <color theme="1"/>
        <rFont val="맑은 고딕"/>
        <family val="3"/>
        <charset val="129"/>
      </rPr>
      <t>㎏</t>
    </r>
    <phoneticPr fontId="2" type="noConversion"/>
  </si>
  <si>
    <t>ℓ/회/ha</t>
    <phoneticPr fontId="2" type="noConversion"/>
  </si>
  <si>
    <t>㎏/회/ha</t>
    <phoneticPr fontId="2" type="noConversion"/>
  </si>
  <si>
    <t>㎏/ha/회</t>
    <phoneticPr fontId="2" type="noConversion"/>
  </si>
  <si>
    <t>지피식물</t>
    <phoneticPr fontId="2" type="noConversion"/>
  </si>
  <si>
    <t>㎏</t>
    <phoneticPr fontId="2" type="noConversion"/>
  </si>
  <si>
    <t>인/연간</t>
    <phoneticPr fontId="2" type="noConversion"/>
  </si>
  <si>
    <t>건</t>
    <phoneticPr fontId="2" type="noConversion"/>
  </si>
  <si>
    <t>ha당</t>
    <phoneticPr fontId="2" type="noConversion"/>
  </si>
  <si>
    <t>합    계</t>
    <phoneticPr fontId="2" type="noConversion"/>
  </si>
  <si>
    <t xml:space="preserve"> </t>
    <phoneticPr fontId="2" type="noConversion"/>
  </si>
  <si>
    <t xml:space="preserve"> </t>
    <phoneticPr fontId="2" type="noConversion"/>
  </si>
  <si>
    <t>미얀마 B사 기준</t>
    <phoneticPr fontId="2" type="noConversion"/>
  </si>
  <si>
    <t>팜유나무 조림</t>
    <phoneticPr fontId="2" type="noConversion"/>
  </si>
  <si>
    <t>* 사업면적 600ha. 임도밀도 50m 의 경우</t>
    <phoneticPr fontId="2" type="noConversion"/>
  </si>
  <si>
    <t>퇴비</t>
    <phoneticPr fontId="2" type="noConversion"/>
  </si>
  <si>
    <t>인도네시아 C사</t>
    <phoneticPr fontId="2" type="noConversion"/>
  </si>
  <si>
    <t>퇴비</t>
    <phoneticPr fontId="2" type="noConversion"/>
  </si>
  <si>
    <t>* 사업면적 500ha. 임도밀도 40m 의 경우</t>
    <phoneticPr fontId="2" type="noConversion"/>
  </si>
  <si>
    <t>바이오매스 조림</t>
    <phoneticPr fontId="2" type="noConversion"/>
  </si>
  <si>
    <t>농약</t>
    <phoneticPr fontId="2" type="noConversion"/>
  </si>
  <si>
    <t>고무나무 조림 (인도네시아 D사기준)</t>
    <phoneticPr fontId="2" type="noConversion"/>
  </si>
  <si>
    <t>식재구덩이파기</t>
    <phoneticPr fontId="2" type="noConversion"/>
  </si>
  <si>
    <t>인광석</t>
    <phoneticPr fontId="2" type="noConversion"/>
  </si>
  <si>
    <t>개/ha</t>
    <phoneticPr fontId="2" type="noConversion"/>
  </si>
  <si>
    <t>인/회ha</t>
    <phoneticPr fontId="2" type="noConversion"/>
  </si>
  <si>
    <t>고무나무 조림</t>
    <phoneticPr fontId="2" type="noConversion"/>
  </si>
  <si>
    <t>기타지역 장기수조림</t>
    <phoneticPr fontId="2" type="noConversion"/>
  </si>
  <si>
    <t>* 사업면적 400ha. 임도밀도 40m 의 경우</t>
    <phoneticPr fontId="2" type="noConversion"/>
  </si>
  <si>
    <t>실시설계</t>
    <phoneticPr fontId="2" type="noConversion"/>
  </si>
  <si>
    <t>기술자</t>
    <phoneticPr fontId="2" type="noConversion"/>
  </si>
  <si>
    <t>건/ha</t>
    <phoneticPr fontId="2" type="noConversion"/>
  </si>
  <si>
    <t>예취기</t>
    <phoneticPr fontId="2" type="noConversion"/>
  </si>
  <si>
    <t>예취기</t>
    <phoneticPr fontId="2" type="noConversion"/>
  </si>
  <si>
    <t>* 사업면적 500ha. 임도밀도 20m 의 경우</t>
    <phoneticPr fontId="2" type="noConversion"/>
  </si>
  <si>
    <t>100개</t>
    <phoneticPr fontId="2" type="noConversion"/>
  </si>
  <si>
    <t>개</t>
    <phoneticPr fontId="2" type="noConversion"/>
  </si>
  <si>
    <t>해외조림비용 산출프로그램 사용방법</t>
    <phoneticPr fontId="2" type="noConversion"/>
  </si>
  <si>
    <t xml:space="preserve"> - 노임단가와 재료비는 조림지 현장기준 단가를 적용</t>
    <phoneticPr fontId="2" type="noConversion"/>
  </si>
  <si>
    <t xml:space="preserve"> - 간접비의 보험료는 회사에서 직원들을 위해 지불하는 사회적비용임. 
   한국의 국민연금, 의료보험, 산재보험, 고용보험의 회사부담분과 같은 개념</t>
    <phoneticPr fontId="2" type="noConversion"/>
  </si>
  <si>
    <t xml:space="preserve"> - 비료, 묘목, 제초제, 농약 등 소요자재는 지역마다 다르므로 현지실정에 맞게 입력</t>
    <phoneticPr fontId="2" type="noConversion"/>
  </si>
  <si>
    <t xml:space="preserve"> - 면적단위의 사업은 ha 단위로 입력</t>
    <phoneticPr fontId="2" type="noConversion"/>
  </si>
  <si>
    <t xml:space="preserve"> - 임도, 배수로와 같이 길이로 시설하는 공종은 사업량을 m 단위로 입력</t>
    <phoneticPr fontId="2" type="noConversion"/>
  </si>
  <si>
    <t>o 본 건과 관련하여 궁금한 사항은 이임영(010-2040-5697)로 연락주세요.</t>
    <phoneticPr fontId="2" type="noConversion"/>
  </si>
  <si>
    <t>o 본 단비표에 없는 공종은 출력용 Sheet 에 있는 기타 란에 입력</t>
    <phoneticPr fontId="2" type="noConversion"/>
  </si>
  <si>
    <t>기타지역 장기수조림(뉴질랜드 S사 기준)</t>
    <phoneticPr fontId="2" type="noConversion"/>
  </si>
  <si>
    <t>헬리콥터</t>
    <phoneticPr fontId="2" type="noConversion"/>
  </si>
  <si>
    <t>U$/ha</t>
    <phoneticPr fontId="2" type="noConversion"/>
  </si>
  <si>
    <t>U$/m</t>
    <phoneticPr fontId="2" type="noConversion"/>
  </si>
  <si>
    <t>개설비용의 30%</t>
    <phoneticPr fontId="2" type="noConversion"/>
  </si>
  <si>
    <t>헬립곱터</t>
    <phoneticPr fontId="2" type="noConversion"/>
  </si>
  <si>
    <t>헬리콥터</t>
    <phoneticPr fontId="2" type="noConversion"/>
  </si>
  <si>
    <t>* 식재본수는 ha당 1,000본 적용</t>
    <phoneticPr fontId="2" type="noConversion"/>
  </si>
  <si>
    <t>첫해</t>
    <phoneticPr fontId="2" type="noConversion"/>
  </si>
  <si>
    <t>1. 열대지역 장기수조림</t>
    <phoneticPr fontId="2" type="noConversion"/>
  </si>
  <si>
    <t>2. 열대지역 속성수조림</t>
    <phoneticPr fontId="2" type="noConversion"/>
  </si>
  <si>
    <t>3. 팜유나무 조림</t>
    <phoneticPr fontId="2" type="noConversion"/>
  </si>
  <si>
    <t>4. 바오매스조림</t>
    <phoneticPr fontId="2" type="noConversion"/>
  </si>
  <si>
    <t>5. 고무나무 조림</t>
    <phoneticPr fontId="2" type="noConversion"/>
  </si>
  <si>
    <t>6. 기타지역 조림</t>
    <phoneticPr fontId="2" type="noConversion"/>
  </si>
  <si>
    <t>o 해외사업의 종류는 7가지로 분류되나 단비표는 6개만 준비하였음</t>
    <phoneticPr fontId="2" type="noConversion"/>
  </si>
  <si>
    <t>o 6개 Sheet는 각각의 사업에 대한 ha당 단가와 전체 사업비를 출력할 수 있는 결과물임</t>
    <phoneticPr fontId="2" type="noConversion"/>
  </si>
  <si>
    <t xml:space="preserve"> - 열대지역 장기수조림은 "열대지역장기수" Sheet 출력</t>
    <phoneticPr fontId="2" type="noConversion"/>
  </si>
  <si>
    <t xml:space="preserve"> - 열대지역 속성수조림은 "열대지역속성수" Sheet 출력</t>
    <phoneticPr fontId="2" type="noConversion"/>
  </si>
  <si>
    <t xml:space="preserve"> - 팜유나무 조림은 "팜유나무조림" Sheet 출력</t>
    <phoneticPr fontId="2" type="noConversion"/>
  </si>
  <si>
    <t xml:space="preserve"> - 바이오매스조림(SRC)은 "바이오매스조림" Sheet 출력</t>
    <phoneticPr fontId="2" type="noConversion"/>
  </si>
  <si>
    <t xml:space="preserve"> - 고무나무 조림은 "고무나무조림" Sheet 출력</t>
    <phoneticPr fontId="2" type="noConversion"/>
  </si>
  <si>
    <t xml:space="preserve"> - 기타지역 장기수조림은 "기타지역장기수" Sheet 출력</t>
    <phoneticPr fontId="2" type="noConversion"/>
  </si>
  <si>
    <t>o 사용자는 설계요소 Sheet의 6개 사업중 해당되는 사업의 노랑색으로 표시한 항목만 다음 사항을 참고하여 입력.</t>
    <phoneticPr fontId="2" type="noConversion"/>
  </si>
  <si>
    <t xml:space="preserve"> - 산불예방은 사업장마다 10인을 상시운영하는 것으로 하였으며, 현장에 맞도록 수정</t>
    <phoneticPr fontId="2" type="noConversion"/>
  </si>
  <si>
    <t>풀베기(줄베기)</t>
    <phoneticPr fontId="2" type="noConversion"/>
  </si>
  <si>
    <t xml:space="preserve"> - 반복작업 종류가 추가될 경우는 사업종별 Sheet에 작업횟수 입력(예; 풀베기의 둘레베기, 줄베기)</t>
    <phoneticPr fontId="2" type="noConversion"/>
  </si>
  <si>
    <t>모두베기</t>
    <phoneticPr fontId="2" type="noConversion"/>
  </si>
  <si>
    <t>비  고</t>
    <phoneticPr fontId="2" type="noConversion"/>
  </si>
  <si>
    <t>인도네시아 A사 기준</t>
    <phoneticPr fontId="2" type="noConversion"/>
  </si>
  <si>
    <t>열대지역 장기수조림</t>
    <phoneticPr fontId="2" type="noConversion"/>
  </si>
  <si>
    <t>열대지역조림 속성수조림</t>
    <phoneticPr fontId="2" type="noConversion"/>
  </si>
  <si>
    <t>U$/ha</t>
    <phoneticPr fontId="2" type="noConversion"/>
  </si>
  <si>
    <t>1식</t>
    <phoneticPr fontId="2" type="noConversion"/>
  </si>
  <si>
    <t>U$/m</t>
    <phoneticPr fontId="2" type="noConversion"/>
  </si>
  <si>
    <t>인/ha</t>
    <phoneticPr fontId="2" type="noConversion"/>
  </si>
  <si>
    <t>캄보디아 A사 기준</t>
    <phoneticPr fontId="2" type="noConversion"/>
  </si>
  <si>
    <t>열대지역 속성수조림</t>
    <phoneticPr fontId="2" type="noConversion"/>
  </si>
  <si>
    <t>팜 조림</t>
    <phoneticPr fontId="2" type="noConversion"/>
  </si>
  <si>
    <t>바이오매스조림</t>
    <phoneticPr fontId="2" type="noConversion"/>
  </si>
  <si>
    <t>기타지역 장기수 조림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</si>
</sst>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0.0%"/>
  </numFmts>
  <fonts count="11">
    <font>
      <sz val="11"/>
      <color theme="1"/>
      <name val="맑은 고딕"/>
      <family val="2"/>
      <charset val="129"/>
      <scheme val="minor"/>
    </font>
    <font>
      <sz val="12"/>
      <color theme="1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바탕체"/>
      <family val="1"/>
      <charset val="129"/>
    </font>
    <font>
      <sz val="12"/>
      <color theme="1"/>
      <name val="맑은 고딕"/>
      <family val="3"/>
      <charset val="129"/>
    </font>
    <font>
      <sz val="10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b/>
      <sz val="14"/>
      <color theme="1"/>
      <name val="바탕체"/>
      <family val="1"/>
      <charset val="129"/>
    </font>
    <font>
      <sz val="10"/>
      <color theme="1"/>
      <name val="맑은 고딕"/>
      <family val="3"/>
      <charset val="129"/>
    </font>
    <font>
      <b/>
      <sz val="16"/>
      <color theme="1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3" xfId="0" applyFont="1" applyBorder="1">
      <alignment vertical="center"/>
    </xf>
    <xf numFmtId="176" fontId="1" fillId="0" borderId="0" xfId="1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1" fontId="1" fillId="0" borderId="0" xfId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6" fontId="1" fillId="0" borderId="0" xfId="1" applyNumberFormat="1" applyFont="1">
      <alignment vertical="center"/>
    </xf>
    <xf numFmtId="0" fontId="1" fillId="0" borderId="12" xfId="0" applyFont="1" applyBorder="1" applyAlignment="1">
      <alignment horizontal="right" vertical="center"/>
    </xf>
    <xf numFmtId="176" fontId="1" fillId="0" borderId="0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5" xfId="1" applyNumberFormat="1" applyFont="1" applyBorder="1">
      <alignment vertical="center"/>
    </xf>
    <xf numFmtId="9" fontId="1" fillId="0" borderId="0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176" fontId="1" fillId="0" borderId="13" xfId="1" applyNumberFormat="1" applyFont="1" applyBorder="1">
      <alignment vertical="center"/>
    </xf>
    <xf numFmtId="176" fontId="1" fillId="0" borderId="14" xfId="1" applyNumberFormat="1" applyFont="1" applyBorder="1">
      <alignment vertical="center"/>
    </xf>
    <xf numFmtId="0" fontId="1" fillId="0" borderId="2" xfId="0" applyFont="1" applyBorder="1" applyAlignment="1">
      <alignment horizontal="right" vertical="center"/>
    </xf>
    <xf numFmtId="176" fontId="1" fillId="0" borderId="3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76" fontId="1" fillId="0" borderId="7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8" xfId="1" applyNumberFormat="1" applyFont="1" applyBorder="1">
      <alignment vertical="center"/>
    </xf>
    <xf numFmtId="176" fontId="1" fillId="0" borderId="9" xfId="1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176" fontId="6" fillId="0" borderId="1" xfId="1" applyNumberFormat="1" applyFont="1" applyBorder="1">
      <alignment vertical="center"/>
    </xf>
    <xf numFmtId="41" fontId="6" fillId="0" borderId="1" xfId="1" applyFont="1" applyBorder="1">
      <alignment vertical="center"/>
    </xf>
    <xf numFmtId="9" fontId="6" fillId="0" borderId="1" xfId="0" applyNumberFormat="1" applyFont="1" applyBorder="1" applyAlignment="1">
      <alignment horizontal="left" vertical="center" shrinkToFit="1"/>
    </xf>
    <xf numFmtId="9" fontId="6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43" fontId="6" fillId="0" borderId="1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6" fontId="6" fillId="2" borderId="1" xfId="1" applyNumberFormat="1" applyFont="1" applyFill="1" applyBorder="1">
      <alignment vertical="center"/>
    </xf>
    <xf numFmtId="0" fontId="9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right" vertical="center"/>
    </xf>
    <xf numFmtId="41" fontId="6" fillId="2" borderId="1" xfId="1" applyFont="1" applyFill="1" applyBorder="1">
      <alignment vertical="center"/>
    </xf>
    <xf numFmtId="177" fontId="6" fillId="3" borderId="1" xfId="2" applyNumberFormat="1" applyFont="1" applyFill="1" applyBorder="1">
      <alignment vertical="center"/>
    </xf>
    <xf numFmtId="9" fontId="6" fillId="3" borderId="1" xfId="0" applyNumberFormat="1" applyFont="1" applyFill="1" applyBorder="1">
      <alignment vertical="center"/>
    </xf>
    <xf numFmtId="41" fontId="6" fillId="0" borderId="0" xfId="0" applyNumberFormat="1" applyFo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9" fontId="6" fillId="0" borderId="10" xfId="0" applyNumberFormat="1" applyFont="1" applyBorder="1" applyAlignment="1">
      <alignment horizontal="left" vertical="center" shrinkToFit="1"/>
    </xf>
    <xf numFmtId="0" fontId="6" fillId="0" borderId="8" xfId="0" applyFont="1" applyFill="1" applyBorder="1" applyAlignment="1">
      <alignment vertical="center" shrinkToFit="1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1" applyNumberFormat="1" applyFont="1">
      <alignment vertical="center"/>
    </xf>
    <xf numFmtId="0" fontId="1" fillId="0" borderId="12" xfId="0" applyFont="1" applyBorder="1">
      <alignment vertical="center"/>
    </xf>
    <xf numFmtId="0" fontId="6" fillId="0" borderId="1" xfId="0" applyFont="1" applyFill="1" applyBorder="1" applyAlignment="1">
      <alignment vertical="center" shrinkToFit="1"/>
    </xf>
    <xf numFmtId="9" fontId="6" fillId="2" borderId="1" xfId="0" applyNumberFormat="1" applyFont="1" applyFill="1" applyBorder="1" applyAlignment="1">
      <alignment horizontal="right" vertical="center"/>
    </xf>
    <xf numFmtId="41" fontId="6" fillId="3" borderId="1" xfId="1" applyFont="1" applyFill="1" applyBorder="1">
      <alignment vertical="center"/>
    </xf>
    <xf numFmtId="41" fontId="6" fillId="0" borderId="1" xfId="0" applyNumberFormat="1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9" fontId="1" fillId="0" borderId="12" xfId="0" applyNumberFormat="1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9" fontId="6" fillId="0" borderId="10" xfId="0" applyNumberFormat="1" applyFont="1" applyBorder="1" applyAlignment="1">
      <alignment horizontal="left" vertical="center" shrinkToFit="1"/>
    </xf>
    <xf numFmtId="9" fontId="6" fillId="0" borderId="15" xfId="0" applyNumberFormat="1" applyFont="1" applyBorder="1" applyAlignment="1">
      <alignment horizontal="left" vertical="center" shrinkToFit="1"/>
    </xf>
    <xf numFmtId="176" fontId="6" fillId="3" borderId="1" xfId="1" applyNumberFormat="1" applyFont="1" applyFill="1" applyBorder="1">
      <alignment vertical="center"/>
    </xf>
    <xf numFmtId="43" fontId="1" fillId="0" borderId="0" xfId="0" applyNumberFormat="1" applyFont="1">
      <alignment vertical="center"/>
    </xf>
    <xf numFmtId="43" fontId="6" fillId="0" borderId="0" xfId="0" applyNumberFormat="1" applyFont="1">
      <alignment vertical="center"/>
    </xf>
    <xf numFmtId="176" fontId="6" fillId="0" borderId="1" xfId="1" applyNumberFormat="1" applyFont="1" applyBorder="1" applyAlignment="1">
      <alignment vertical="center" shrinkToFit="1"/>
    </xf>
    <xf numFmtId="176" fontId="6" fillId="2" borderId="1" xfId="1" applyNumberFormat="1" applyFont="1" applyFill="1" applyBorder="1" applyAlignment="1">
      <alignment vertical="center" shrinkToFit="1"/>
    </xf>
    <xf numFmtId="41" fontId="6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41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left" vertical="center" shrinkToFit="1"/>
    </xf>
    <xf numFmtId="43" fontId="6" fillId="0" borderId="1" xfId="1" applyNumberFormat="1" applyFont="1" applyBorder="1">
      <alignment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6" fillId="0" borderId="11" xfId="0" applyNumberFormat="1" applyFont="1" applyBorder="1" applyAlignment="1">
      <alignment horizontal="left" vertical="center" shrinkToFit="1"/>
    </xf>
    <xf numFmtId="9" fontId="6" fillId="0" borderId="10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>
      <selection activeCell="A17" sqref="A17"/>
    </sheetView>
  </sheetViews>
  <sheetFormatPr defaultRowHeight="20.100000000000001" customHeight="1"/>
  <cols>
    <col min="1" max="1" width="86" style="76" bestFit="1" customWidth="1"/>
    <col min="2" max="16384" width="9" style="76"/>
  </cols>
  <sheetData>
    <row r="1" spans="1:1" ht="30.75" customHeight="1">
      <c r="A1" s="109" t="s">
        <v>322</v>
      </c>
    </row>
    <row r="2" spans="1:1" ht="6" customHeight="1"/>
    <row r="3" spans="1:1" ht="30" customHeight="1">
      <c r="A3" s="110" t="s">
        <v>345</v>
      </c>
    </row>
    <row r="4" spans="1:1" ht="36" customHeight="1">
      <c r="A4" s="110" t="s">
        <v>353</v>
      </c>
    </row>
    <row r="5" spans="1:1" ht="20.100000000000001" customHeight="1">
      <c r="A5" s="110" t="s">
        <v>323</v>
      </c>
    </row>
    <row r="6" spans="1:1" ht="39.950000000000003" customHeight="1">
      <c r="A6" s="110" t="s">
        <v>324</v>
      </c>
    </row>
    <row r="7" spans="1:1" ht="20.100000000000001" customHeight="1">
      <c r="A7" s="110" t="s">
        <v>325</v>
      </c>
    </row>
    <row r="8" spans="1:1" ht="20.100000000000001" customHeight="1">
      <c r="A8" s="110" t="s">
        <v>327</v>
      </c>
    </row>
    <row r="9" spans="1:1" ht="20.100000000000001" customHeight="1">
      <c r="A9" s="110" t="s">
        <v>326</v>
      </c>
    </row>
    <row r="10" spans="1:1" ht="34.5" customHeight="1">
      <c r="A10" s="110" t="s">
        <v>356</v>
      </c>
    </row>
    <row r="11" spans="1:1" ht="20.100000000000001" customHeight="1">
      <c r="A11" s="110" t="s">
        <v>354</v>
      </c>
    </row>
    <row r="12" spans="1:1" ht="30" customHeight="1">
      <c r="A12" s="110" t="s">
        <v>346</v>
      </c>
    </row>
    <row r="13" spans="1:1" ht="20.100000000000001" customHeight="1">
      <c r="A13" s="110" t="s">
        <v>347</v>
      </c>
    </row>
    <row r="14" spans="1:1" ht="20.100000000000001" customHeight="1">
      <c r="A14" s="110" t="s">
        <v>348</v>
      </c>
    </row>
    <row r="15" spans="1:1" ht="20.100000000000001" customHeight="1">
      <c r="A15" s="110" t="s">
        <v>349</v>
      </c>
    </row>
    <row r="16" spans="1:1" ht="20.100000000000001" customHeight="1">
      <c r="A16" s="110" t="s">
        <v>350</v>
      </c>
    </row>
    <row r="17" spans="1:1" ht="20.100000000000001" customHeight="1">
      <c r="A17" s="110" t="s">
        <v>351</v>
      </c>
    </row>
    <row r="18" spans="1:1" ht="20.100000000000001" customHeight="1">
      <c r="A18" s="110" t="s">
        <v>352</v>
      </c>
    </row>
    <row r="19" spans="1:1" ht="30" customHeight="1">
      <c r="A19" s="110" t="s">
        <v>329</v>
      </c>
    </row>
    <row r="20" spans="1:1" ht="30" customHeight="1">
      <c r="A20" s="110" t="s">
        <v>328</v>
      </c>
    </row>
    <row r="21" spans="1:1" ht="30" customHeight="1">
      <c r="A21" s="111"/>
    </row>
    <row r="22" spans="1:1" ht="30" customHeight="1">
      <c r="A22" s="111"/>
    </row>
    <row r="23" spans="1:1" ht="20.100000000000001" customHeight="1">
      <c r="A23" s="111"/>
    </row>
    <row r="24" spans="1:1" ht="20.100000000000001" customHeight="1">
      <c r="A24" s="111"/>
    </row>
    <row r="25" spans="1:1" ht="20.100000000000001" customHeight="1">
      <c r="A25" s="111"/>
    </row>
    <row r="26" spans="1:1" ht="20.100000000000001" customHeight="1">
      <c r="A26" s="111"/>
    </row>
    <row r="27" spans="1:1" ht="20.100000000000001" customHeight="1">
      <c r="A27" s="111"/>
    </row>
    <row r="28" spans="1:1" ht="20.100000000000001" customHeight="1">
      <c r="A28" s="111"/>
    </row>
    <row r="29" spans="1:1" ht="20.100000000000001" customHeight="1">
      <c r="A29" s="111"/>
    </row>
  </sheetData>
  <phoneticPr fontId="2" type="noConversion"/>
  <pageMargins left="0.62" right="0.5500000000000000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0"/>
  <sheetViews>
    <sheetView workbookViewId="0">
      <selection activeCell="G30" sqref="G30"/>
    </sheetView>
  </sheetViews>
  <sheetFormatPr defaultRowHeight="20.100000000000001" customHeight="1"/>
  <cols>
    <col min="1" max="1" width="10.5" customWidth="1"/>
    <col min="2" max="3" width="8.5" bestFit="1" customWidth="1"/>
    <col min="4" max="4" width="5.875" bestFit="1" customWidth="1"/>
    <col min="5" max="5" width="0.875" customWidth="1"/>
    <col min="6" max="6" width="15.25" customWidth="1"/>
    <col min="7" max="8" width="8.5" bestFit="1" customWidth="1"/>
    <col min="9" max="9" width="8.5" customWidth="1"/>
    <col min="10" max="10" width="10.25" style="75" customWidth="1"/>
    <col min="11" max="11" width="1.125" customWidth="1"/>
    <col min="12" max="12" width="10.5" style="75" customWidth="1"/>
    <col min="13" max="14" width="8.5" style="75" bestFit="1" customWidth="1"/>
    <col min="15" max="15" width="5.875" style="75" bestFit="1" customWidth="1"/>
    <col min="16" max="16" width="0.875" style="75" customWidth="1"/>
    <col min="17" max="17" width="15.25" style="75" customWidth="1"/>
    <col min="18" max="19" width="8.5" style="75" bestFit="1" customWidth="1"/>
    <col min="20" max="20" width="8.5" style="75" customWidth="1"/>
    <col min="21" max="21" width="10.25" style="75" customWidth="1"/>
    <col min="22" max="22" width="1.125" style="75" customWidth="1"/>
    <col min="23" max="23" width="10.5" customWidth="1"/>
    <col min="24" max="24" width="10.625" customWidth="1"/>
    <col min="25" max="25" width="8.5" bestFit="1" customWidth="1"/>
    <col min="26" max="26" width="5.875" bestFit="1" customWidth="1"/>
    <col min="27" max="27" width="0.875" customWidth="1"/>
    <col min="28" max="28" width="13.75" customWidth="1"/>
    <col min="29" max="31" width="8.5" bestFit="1" customWidth="1"/>
    <col min="32" max="32" width="10.25" style="75" bestFit="1" customWidth="1"/>
    <col min="33" max="33" width="1.375" customWidth="1"/>
    <col min="34" max="34" width="10.5" customWidth="1"/>
    <col min="35" max="35" width="10.625" customWidth="1"/>
    <col min="36" max="36" width="8.5" bestFit="1" customWidth="1"/>
    <col min="37" max="37" width="5.875" bestFit="1" customWidth="1"/>
    <col min="38" max="38" width="0.875" customWidth="1"/>
    <col min="39" max="39" width="12.75" customWidth="1"/>
    <col min="40" max="41" width="8.5" bestFit="1" customWidth="1"/>
    <col min="42" max="42" width="8" customWidth="1"/>
    <col min="43" max="43" width="10.25" style="75" bestFit="1" customWidth="1"/>
    <col min="44" max="44" width="1.25" customWidth="1"/>
    <col min="45" max="45" width="10.5" hidden="1" customWidth="1"/>
    <col min="46" max="46" width="10.625" hidden="1" customWidth="1"/>
    <col min="47" max="47" width="8.5" hidden="1" customWidth="1"/>
    <col min="48" max="48" width="5.875" hidden="1" customWidth="1"/>
    <col min="49" max="49" width="0.875" hidden="1" customWidth="1"/>
    <col min="50" max="50" width="16.125" hidden="1" customWidth="1"/>
    <col min="51" max="53" width="8.5" hidden="1" customWidth="1"/>
    <col min="54" max="54" width="10.5" customWidth="1"/>
    <col min="55" max="55" width="10.625" customWidth="1"/>
    <col min="56" max="56" width="8.5" bestFit="1" customWidth="1"/>
    <col min="57" max="57" width="5.875" bestFit="1" customWidth="1"/>
    <col min="58" max="58" width="0.875" customWidth="1"/>
    <col min="59" max="59" width="13.875" style="75" customWidth="1"/>
    <col min="60" max="62" width="8.5" style="75" bestFit="1" customWidth="1"/>
    <col min="63" max="63" width="9.5" style="75" customWidth="1"/>
    <col min="64" max="64" width="1.375" customWidth="1"/>
    <col min="65" max="65" width="10.5" style="75" customWidth="1"/>
    <col min="66" max="66" width="10.625" style="75" customWidth="1"/>
    <col min="67" max="67" width="8.5" style="75" bestFit="1" customWidth="1"/>
    <col min="68" max="68" width="5.875" style="75" bestFit="1" customWidth="1"/>
    <col min="69" max="69" width="0.875" style="75" customWidth="1"/>
    <col min="70" max="70" width="14.625" style="75" customWidth="1"/>
    <col min="71" max="73" width="8.5" style="75" bestFit="1" customWidth="1"/>
  </cols>
  <sheetData>
    <row r="1" spans="1:74" ht="28.5" customHeight="1">
      <c r="A1" s="33" t="s">
        <v>339</v>
      </c>
      <c r="L1" s="33" t="s">
        <v>340</v>
      </c>
      <c r="W1" s="33" t="s">
        <v>341</v>
      </c>
      <c r="AH1" s="33" t="s">
        <v>342</v>
      </c>
      <c r="AS1" s="33" t="s">
        <v>117</v>
      </c>
      <c r="BB1" s="33" t="s">
        <v>343</v>
      </c>
      <c r="BM1" s="33" t="s">
        <v>344</v>
      </c>
    </row>
    <row r="2" spans="1:74" ht="20.100000000000001" customHeight="1">
      <c r="A2" s="32" t="s">
        <v>116</v>
      </c>
      <c r="B2" s="1"/>
      <c r="C2" s="1"/>
      <c r="F2" s="35" t="s">
        <v>360</v>
      </c>
      <c r="G2" s="35"/>
      <c r="H2" s="35"/>
      <c r="I2" s="123" t="s">
        <v>366</v>
      </c>
      <c r="J2" s="123"/>
      <c r="L2" s="32" t="s">
        <v>116</v>
      </c>
      <c r="M2" s="76"/>
      <c r="N2" s="76"/>
      <c r="Q2" s="35" t="s">
        <v>361</v>
      </c>
      <c r="R2" s="35"/>
      <c r="S2" s="35"/>
      <c r="T2" s="123" t="s">
        <v>359</v>
      </c>
      <c r="U2" s="123"/>
      <c r="W2" s="32" t="s">
        <v>116</v>
      </c>
      <c r="X2" s="1"/>
      <c r="Y2" s="1"/>
      <c r="AB2" s="35" t="s">
        <v>146</v>
      </c>
      <c r="AC2" s="35"/>
      <c r="AD2" s="123" t="s">
        <v>297</v>
      </c>
      <c r="AE2" s="123"/>
      <c r="AF2" s="96"/>
      <c r="AH2" s="32" t="s">
        <v>116</v>
      </c>
      <c r="AI2" s="1"/>
      <c r="AJ2" s="1"/>
      <c r="AM2" s="35" t="s">
        <v>171</v>
      </c>
      <c r="AN2" s="35"/>
      <c r="AO2" s="35"/>
      <c r="AP2" s="34" t="s">
        <v>301</v>
      </c>
      <c r="AQ2" s="34"/>
      <c r="AS2" s="32" t="s">
        <v>116</v>
      </c>
      <c r="AT2" s="1"/>
      <c r="AU2" s="1"/>
      <c r="AX2" s="35" t="s">
        <v>109</v>
      </c>
      <c r="AY2" s="35"/>
      <c r="AZ2" s="35"/>
      <c r="BA2" s="34"/>
      <c r="BB2" s="32" t="s">
        <v>116</v>
      </c>
      <c r="BC2" s="1"/>
      <c r="BD2" s="1"/>
      <c r="BG2" s="35" t="s">
        <v>306</v>
      </c>
      <c r="BH2" s="35"/>
      <c r="BI2" s="35"/>
      <c r="BJ2" s="34"/>
      <c r="BK2" s="34"/>
      <c r="BM2" s="32" t="s">
        <v>116</v>
      </c>
      <c r="BN2" s="76"/>
      <c r="BO2" s="76"/>
      <c r="BR2" s="35" t="s">
        <v>330</v>
      </c>
      <c r="BS2" s="35"/>
      <c r="BT2" s="35"/>
      <c r="BU2" s="34"/>
    </row>
    <row r="3" spans="1:74" ht="19.5" customHeight="1">
      <c r="A3" s="37" t="s">
        <v>127</v>
      </c>
      <c r="B3" s="37" t="s">
        <v>128</v>
      </c>
      <c r="C3" s="37" t="s">
        <v>129</v>
      </c>
      <c r="F3" s="95" t="s">
        <v>244</v>
      </c>
      <c r="G3" s="36" t="s">
        <v>245</v>
      </c>
      <c r="H3" s="95" t="s">
        <v>246</v>
      </c>
      <c r="I3" s="95" t="s">
        <v>247</v>
      </c>
      <c r="J3" s="95" t="s">
        <v>227</v>
      </c>
      <c r="L3" s="95" t="s">
        <v>127</v>
      </c>
      <c r="M3" s="95" t="s">
        <v>51</v>
      </c>
      <c r="N3" s="95" t="s">
        <v>129</v>
      </c>
      <c r="Q3" s="95" t="s">
        <v>82</v>
      </c>
      <c r="R3" s="36" t="s">
        <v>245</v>
      </c>
      <c r="S3" s="95" t="s">
        <v>84</v>
      </c>
      <c r="T3" s="95" t="s">
        <v>247</v>
      </c>
      <c r="U3" s="95" t="s">
        <v>227</v>
      </c>
      <c r="W3" s="37" t="s">
        <v>127</v>
      </c>
      <c r="X3" s="37" t="s">
        <v>128</v>
      </c>
      <c r="Y3" s="37" t="s">
        <v>129</v>
      </c>
      <c r="AB3" s="95" t="s">
        <v>244</v>
      </c>
      <c r="AC3" s="36" t="s">
        <v>245</v>
      </c>
      <c r="AD3" s="95" t="s">
        <v>246</v>
      </c>
      <c r="AE3" s="95" t="s">
        <v>247</v>
      </c>
      <c r="AF3" s="95" t="s">
        <v>227</v>
      </c>
      <c r="AH3" s="37" t="s">
        <v>127</v>
      </c>
      <c r="AI3" s="37" t="s">
        <v>128</v>
      </c>
      <c r="AJ3" s="37" t="s">
        <v>129</v>
      </c>
      <c r="AM3" s="95" t="s">
        <v>244</v>
      </c>
      <c r="AN3" s="36" t="s">
        <v>245</v>
      </c>
      <c r="AO3" s="95" t="s">
        <v>246</v>
      </c>
      <c r="AP3" s="95" t="s">
        <v>247</v>
      </c>
      <c r="AQ3" s="95" t="s">
        <v>227</v>
      </c>
      <c r="AS3" s="55" t="s">
        <v>127</v>
      </c>
      <c r="AT3" s="55" t="s">
        <v>128</v>
      </c>
      <c r="AU3" s="55" t="s">
        <v>129</v>
      </c>
      <c r="AX3" s="55" t="s">
        <v>82</v>
      </c>
      <c r="AY3" s="36" t="s">
        <v>83</v>
      </c>
      <c r="AZ3" s="55" t="s">
        <v>84</v>
      </c>
      <c r="BA3" s="55" t="s">
        <v>21</v>
      </c>
      <c r="BB3" s="55" t="s">
        <v>127</v>
      </c>
      <c r="BC3" s="55" t="s">
        <v>128</v>
      </c>
      <c r="BD3" s="55" t="s">
        <v>129</v>
      </c>
      <c r="BG3" s="95" t="s">
        <v>244</v>
      </c>
      <c r="BH3" s="36" t="s">
        <v>245</v>
      </c>
      <c r="BI3" s="95" t="s">
        <v>246</v>
      </c>
      <c r="BJ3" s="95" t="s">
        <v>247</v>
      </c>
      <c r="BK3" s="95" t="s">
        <v>227</v>
      </c>
      <c r="BM3" s="55" t="s">
        <v>127</v>
      </c>
      <c r="BN3" s="55" t="s">
        <v>128</v>
      </c>
      <c r="BO3" s="55" t="s">
        <v>129</v>
      </c>
      <c r="BR3" s="95" t="s">
        <v>244</v>
      </c>
      <c r="BS3" s="36" t="s">
        <v>245</v>
      </c>
      <c r="BT3" s="95" t="s">
        <v>246</v>
      </c>
      <c r="BU3" s="95" t="s">
        <v>247</v>
      </c>
      <c r="BV3" s="95" t="s">
        <v>227</v>
      </c>
    </row>
    <row r="4" spans="1:74" ht="18" customHeight="1">
      <c r="A4" s="58">
        <v>5</v>
      </c>
      <c r="B4" s="58">
        <v>6</v>
      </c>
      <c r="C4" s="58">
        <v>8</v>
      </c>
      <c r="F4" s="44" t="s">
        <v>217</v>
      </c>
      <c r="G4" s="44" t="s">
        <v>248</v>
      </c>
      <c r="H4" s="44" t="s">
        <v>333</v>
      </c>
      <c r="I4" s="39">
        <v>13.85</v>
      </c>
      <c r="J4" s="66">
        <v>40000</v>
      </c>
      <c r="L4" s="58">
        <v>4.42</v>
      </c>
      <c r="M4" s="58">
        <v>6</v>
      </c>
      <c r="N4" s="58">
        <v>8</v>
      </c>
      <c r="Q4" s="44" t="s">
        <v>217</v>
      </c>
      <c r="R4" s="44" t="s">
        <v>248</v>
      </c>
      <c r="S4" s="44" t="s">
        <v>333</v>
      </c>
      <c r="T4" s="39">
        <v>13.85</v>
      </c>
      <c r="U4" s="66">
        <v>40000</v>
      </c>
      <c r="W4" s="58">
        <v>8</v>
      </c>
      <c r="X4" s="58">
        <v>10</v>
      </c>
      <c r="Y4" s="58">
        <v>12</v>
      </c>
      <c r="AB4" s="44" t="s">
        <v>217</v>
      </c>
      <c r="AC4" s="44" t="s">
        <v>248</v>
      </c>
      <c r="AD4" s="44" t="s">
        <v>333</v>
      </c>
      <c r="AE4" s="39">
        <v>13.85</v>
      </c>
      <c r="AF4" s="66">
        <v>30000</v>
      </c>
      <c r="AH4" s="58">
        <v>4</v>
      </c>
      <c r="AI4" s="58">
        <v>5</v>
      </c>
      <c r="AJ4" s="58">
        <v>8</v>
      </c>
      <c r="AM4" s="44" t="s">
        <v>217</v>
      </c>
      <c r="AN4" s="44" t="s">
        <v>248</v>
      </c>
      <c r="AO4" s="44" t="s">
        <v>333</v>
      </c>
      <c r="AP4" s="39">
        <v>13.85</v>
      </c>
      <c r="AQ4" s="66">
        <f>500*6</f>
        <v>3000</v>
      </c>
      <c r="AS4" s="58">
        <v>5</v>
      </c>
      <c r="AT4" s="58">
        <v>6</v>
      </c>
      <c r="AU4" s="58">
        <v>8</v>
      </c>
      <c r="AX4" s="38" t="s">
        <v>85</v>
      </c>
      <c r="AY4" s="38" t="s">
        <v>26</v>
      </c>
      <c r="AZ4" s="38" t="s">
        <v>86</v>
      </c>
      <c r="BA4" s="39">
        <v>4</v>
      </c>
      <c r="BB4" s="58">
        <v>4.42</v>
      </c>
      <c r="BC4" s="58">
        <v>7.69</v>
      </c>
      <c r="BD4" s="58">
        <v>15.38</v>
      </c>
      <c r="BG4" s="44" t="s">
        <v>217</v>
      </c>
      <c r="BH4" s="44" t="s">
        <v>248</v>
      </c>
      <c r="BI4" s="44" t="s">
        <v>333</v>
      </c>
      <c r="BJ4" s="39">
        <v>13.85</v>
      </c>
      <c r="BK4" s="66">
        <f>400*40</f>
        <v>16000</v>
      </c>
      <c r="BM4" s="58">
        <v>160</v>
      </c>
      <c r="BN4" s="58">
        <v>0</v>
      </c>
      <c r="BO4" s="58">
        <v>230</v>
      </c>
      <c r="BR4" s="44" t="s">
        <v>217</v>
      </c>
      <c r="BS4" s="44" t="s">
        <v>248</v>
      </c>
      <c r="BT4" s="44" t="s">
        <v>333</v>
      </c>
      <c r="BU4" s="39">
        <v>40</v>
      </c>
      <c r="BV4" s="66">
        <f>500*20</f>
        <v>10000</v>
      </c>
    </row>
    <row r="5" spans="1:74" ht="18" customHeight="1">
      <c r="A5" s="1"/>
      <c r="B5" s="1"/>
      <c r="C5" s="1"/>
      <c r="F5" s="44" t="s">
        <v>218</v>
      </c>
      <c r="G5" s="44" t="s">
        <v>248</v>
      </c>
      <c r="H5" s="44" t="s">
        <v>333</v>
      </c>
      <c r="I5" s="39">
        <v>1.39</v>
      </c>
      <c r="J5" s="66">
        <v>40000</v>
      </c>
      <c r="L5" s="76"/>
      <c r="M5" s="76"/>
      <c r="N5" s="76"/>
      <c r="Q5" s="44" t="s">
        <v>3</v>
      </c>
      <c r="R5" s="44" t="s">
        <v>248</v>
      </c>
      <c r="S5" s="44" t="s">
        <v>333</v>
      </c>
      <c r="T5" s="39">
        <v>1.39</v>
      </c>
      <c r="U5" s="66">
        <v>40000</v>
      </c>
      <c r="W5" s="1"/>
      <c r="X5" s="1"/>
      <c r="Y5" s="1"/>
      <c r="AB5" s="44" t="s">
        <v>218</v>
      </c>
      <c r="AC5" s="44" t="s">
        <v>248</v>
      </c>
      <c r="AD5" s="44" t="s">
        <v>333</v>
      </c>
      <c r="AE5" s="39">
        <v>1.39</v>
      </c>
      <c r="AF5" s="66">
        <v>30000</v>
      </c>
      <c r="AH5" s="1"/>
      <c r="AI5" s="1"/>
      <c r="AJ5" s="1"/>
      <c r="AM5" s="44" t="s">
        <v>218</v>
      </c>
      <c r="AN5" s="44" t="s">
        <v>248</v>
      </c>
      <c r="AO5" s="44" t="s">
        <v>333</v>
      </c>
      <c r="AP5" s="39">
        <v>1.39</v>
      </c>
      <c r="AQ5" s="66">
        <f>AQ4</f>
        <v>3000</v>
      </c>
      <c r="AS5" s="1"/>
      <c r="AT5" s="1"/>
      <c r="AU5" s="1"/>
      <c r="AX5" s="38" t="s">
        <v>87</v>
      </c>
      <c r="AY5" s="38" t="s">
        <v>88</v>
      </c>
      <c r="AZ5" s="38" t="s">
        <v>89</v>
      </c>
      <c r="BA5" s="39">
        <v>0</v>
      </c>
      <c r="BB5" s="1"/>
      <c r="BC5" s="1"/>
      <c r="BD5" s="1"/>
      <c r="BG5" s="44" t="s">
        <v>218</v>
      </c>
      <c r="BH5" s="44" t="s">
        <v>248</v>
      </c>
      <c r="BI5" s="44" t="s">
        <v>333</v>
      </c>
      <c r="BJ5" s="39">
        <v>1.39</v>
      </c>
      <c r="BK5" s="66">
        <v>16000</v>
      </c>
      <c r="BM5" s="76"/>
      <c r="BN5" s="76"/>
      <c r="BO5" s="76"/>
      <c r="BR5" s="44" t="s">
        <v>218</v>
      </c>
      <c r="BS5" s="44" t="s">
        <v>248</v>
      </c>
      <c r="BT5" s="44" t="s">
        <v>333</v>
      </c>
      <c r="BU5" s="39">
        <v>12</v>
      </c>
      <c r="BV5" s="66">
        <v>10000</v>
      </c>
    </row>
    <row r="6" spans="1:74" ht="18" customHeight="1">
      <c r="A6" s="32" t="s">
        <v>118</v>
      </c>
      <c r="B6" s="1"/>
      <c r="C6" s="1"/>
      <c r="F6" s="44" t="s">
        <v>219</v>
      </c>
      <c r="G6" s="44" t="s">
        <v>213</v>
      </c>
      <c r="H6" s="44" t="s">
        <v>333</v>
      </c>
      <c r="I6" s="39">
        <v>1.36</v>
      </c>
      <c r="J6" s="66">
        <v>0</v>
      </c>
      <c r="L6" s="32" t="s">
        <v>118</v>
      </c>
      <c r="M6" s="76"/>
      <c r="N6" s="76"/>
      <c r="Q6" s="44" t="s">
        <v>173</v>
      </c>
      <c r="R6" s="44" t="s">
        <v>25</v>
      </c>
      <c r="S6" s="44" t="s">
        <v>333</v>
      </c>
      <c r="T6" s="39">
        <v>1.36</v>
      </c>
      <c r="U6" s="66">
        <v>0</v>
      </c>
      <c r="W6" s="32" t="s">
        <v>118</v>
      </c>
      <c r="X6" s="1"/>
      <c r="Y6" s="1"/>
      <c r="AB6" s="44" t="s">
        <v>219</v>
      </c>
      <c r="AC6" s="44" t="s">
        <v>213</v>
      </c>
      <c r="AD6" s="44" t="s">
        <v>333</v>
      </c>
      <c r="AE6" s="39">
        <v>1.36</v>
      </c>
      <c r="AF6" s="66">
        <v>0</v>
      </c>
      <c r="AH6" s="32" t="s">
        <v>118</v>
      </c>
      <c r="AI6" s="1"/>
      <c r="AJ6" s="1"/>
      <c r="AM6" s="44" t="s">
        <v>219</v>
      </c>
      <c r="AN6" s="44" t="s">
        <v>213</v>
      </c>
      <c r="AO6" s="44" t="s">
        <v>333</v>
      </c>
      <c r="AP6" s="39">
        <v>1.36</v>
      </c>
      <c r="AQ6" s="66">
        <v>0</v>
      </c>
      <c r="AS6" s="32" t="s">
        <v>118</v>
      </c>
      <c r="AT6" s="1"/>
      <c r="AU6" s="1"/>
      <c r="AX6" s="38" t="s">
        <v>90</v>
      </c>
      <c r="AY6" s="38" t="s">
        <v>91</v>
      </c>
      <c r="AZ6" s="38" t="s">
        <v>86</v>
      </c>
      <c r="BA6" s="39">
        <f>BA4</f>
        <v>4</v>
      </c>
      <c r="BB6" s="32" t="s">
        <v>118</v>
      </c>
      <c r="BC6" s="1"/>
      <c r="BD6" s="1"/>
      <c r="BG6" s="44" t="s">
        <v>219</v>
      </c>
      <c r="BH6" s="44" t="s">
        <v>213</v>
      </c>
      <c r="BI6" s="44" t="s">
        <v>333</v>
      </c>
      <c r="BJ6" s="39">
        <v>1.36</v>
      </c>
      <c r="BK6" s="66">
        <v>0</v>
      </c>
      <c r="BM6" s="32" t="s">
        <v>118</v>
      </c>
      <c r="BN6" s="76"/>
      <c r="BO6" s="76"/>
      <c r="BR6" s="44" t="s">
        <v>219</v>
      </c>
      <c r="BS6" s="44" t="s">
        <v>213</v>
      </c>
      <c r="BT6" s="44" t="s">
        <v>333</v>
      </c>
      <c r="BU6" s="39">
        <v>1.36</v>
      </c>
      <c r="BV6" s="66">
        <v>0</v>
      </c>
    </row>
    <row r="7" spans="1:74" ht="18" customHeight="1">
      <c r="A7" s="37" t="s">
        <v>133</v>
      </c>
      <c r="B7" s="37" t="s">
        <v>134</v>
      </c>
      <c r="C7" s="37" t="s">
        <v>135</v>
      </c>
      <c r="F7" s="44" t="s">
        <v>220</v>
      </c>
      <c r="G7" s="44" t="s">
        <v>213</v>
      </c>
      <c r="H7" s="44" t="s">
        <v>333</v>
      </c>
      <c r="I7" s="39">
        <v>1.25</v>
      </c>
      <c r="J7" s="66">
        <v>0</v>
      </c>
      <c r="L7" s="95" t="s">
        <v>133</v>
      </c>
      <c r="M7" s="95" t="s">
        <v>84</v>
      </c>
      <c r="N7" s="95" t="s">
        <v>135</v>
      </c>
      <c r="Q7" s="44" t="s">
        <v>172</v>
      </c>
      <c r="R7" s="44" t="s">
        <v>25</v>
      </c>
      <c r="S7" s="44" t="s">
        <v>333</v>
      </c>
      <c r="T7" s="39">
        <v>1.25</v>
      </c>
      <c r="U7" s="66">
        <v>0</v>
      </c>
      <c r="W7" s="37" t="s">
        <v>133</v>
      </c>
      <c r="X7" s="37" t="s">
        <v>134</v>
      </c>
      <c r="Y7" s="37" t="s">
        <v>135</v>
      </c>
      <c r="AB7" s="44" t="s">
        <v>220</v>
      </c>
      <c r="AC7" s="44" t="s">
        <v>213</v>
      </c>
      <c r="AD7" s="44" t="s">
        <v>333</v>
      </c>
      <c r="AE7" s="39">
        <v>1.25</v>
      </c>
      <c r="AF7" s="66">
        <v>0</v>
      </c>
      <c r="AH7" s="37" t="s">
        <v>133</v>
      </c>
      <c r="AI7" s="37" t="s">
        <v>134</v>
      </c>
      <c r="AJ7" s="37" t="s">
        <v>135</v>
      </c>
      <c r="AM7" s="44" t="s">
        <v>220</v>
      </c>
      <c r="AN7" s="44" t="s">
        <v>213</v>
      </c>
      <c r="AO7" s="44" t="s">
        <v>333</v>
      </c>
      <c r="AP7" s="39">
        <v>1.25</v>
      </c>
      <c r="AQ7" s="66">
        <v>0</v>
      </c>
      <c r="AS7" s="55" t="s">
        <v>133</v>
      </c>
      <c r="AT7" s="55" t="s">
        <v>134</v>
      </c>
      <c r="AU7" s="55" t="s">
        <v>135</v>
      </c>
      <c r="AX7" s="38" t="s">
        <v>92</v>
      </c>
      <c r="AY7" s="38" t="s">
        <v>88</v>
      </c>
      <c r="AZ7" s="38" t="s">
        <v>89</v>
      </c>
      <c r="BA7" s="39">
        <v>2</v>
      </c>
      <c r="BB7" s="55" t="s">
        <v>159</v>
      </c>
      <c r="BC7" s="55" t="s">
        <v>160</v>
      </c>
      <c r="BD7" s="55" t="s">
        <v>161</v>
      </c>
      <c r="BG7" s="44" t="s">
        <v>220</v>
      </c>
      <c r="BH7" s="44" t="s">
        <v>213</v>
      </c>
      <c r="BI7" s="44" t="s">
        <v>333</v>
      </c>
      <c r="BJ7" s="39">
        <v>1.25</v>
      </c>
      <c r="BK7" s="66">
        <v>2800</v>
      </c>
      <c r="BM7" s="95" t="s">
        <v>133</v>
      </c>
      <c r="BN7" s="95" t="s">
        <v>20</v>
      </c>
      <c r="BO7" s="95" t="s">
        <v>135</v>
      </c>
      <c r="BR7" s="44" t="s">
        <v>220</v>
      </c>
      <c r="BS7" s="44" t="s">
        <v>213</v>
      </c>
      <c r="BT7" s="44" t="s">
        <v>333</v>
      </c>
      <c r="BU7" s="39">
        <v>1.25</v>
      </c>
      <c r="BV7" s="66">
        <v>0</v>
      </c>
    </row>
    <row r="8" spans="1:74" ht="18" customHeight="1">
      <c r="A8" s="44" t="s">
        <v>47</v>
      </c>
      <c r="B8" s="44" t="s">
        <v>49</v>
      </c>
      <c r="C8" s="58">
        <v>0.8</v>
      </c>
      <c r="F8" s="44" t="s">
        <v>221</v>
      </c>
      <c r="G8" s="44" t="s">
        <v>230</v>
      </c>
      <c r="H8" s="44" t="s">
        <v>233</v>
      </c>
      <c r="I8" s="39">
        <v>0</v>
      </c>
      <c r="J8" s="66">
        <v>0</v>
      </c>
      <c r="L8" s="44" t="s">
        <v>47</v>
      </c>
      <c r="M8" s="44" t="s">
        <v>49</v>
      </c>
      <c r="N8" s="58">
        <v>0.8</v>
      </c>
      <c r="Q8" s="44" t="s">
        <v>144</v>
      </c>
      <c r="R8" s="44" t="s">
        <v>127</v>
      </c>
      <c r="S8" s="44" t="s">
        <v>232</v>
      </c>
      <c r="T8" s="39">
        <v>0</v>
      </c>
      <c r="U8" s="66">
        <v>1000</v>
      </c>
      <c r="W8" s="44" t="s">
        <v>47</v>
      </c>
      <c r="X8" s="44" t="s">
        <v>49</v>
      </c>
      <c r="Y8" s="58">
        <v>0.8</v>
      </c>
      <c r="AB8" s="44" t="s">
        <v>221</v>
      </c>
      <c r="AC8" s="44" t="s">
        <v>230</v>
      </c>
      <c r="AD8" s="44" t="s">
        <v>233</v>
      </c>
      <c r="AE8" s="39">
        <v>0</v>
      </c>
      <c r="AF8" s="66">
        <v>0</v>
      </c>
      <c r="AH8" s="44" t="s">
        <v>47</v>
      </c>
      <c r="AI8" s="44" t="s">
        <v>49</v>
      </c>
      <c r="AJ8" s="58">
        <v>0.6</v>
      </c>
      <c r="AM8" s="44" t="s">
        <v>221</v>
      </c>
      <c r="AN8" s="44" t="s">
        <v>230</v>
      </c>
      <c r="AO8" s="44" t="s">
        <v>362</v>
      </c>
      <c r="AP8" s="39">
        <v>50</v>
      </c>
      <c r="AQ8" s="66">
        <v>500</v>
      </c>
      <c r="AS8" s="44" t="s">
        <v>47</v>
      </c>
      <c r="AT8" s="44" t="s">
        <v>49</v>
      </c>
      <c r="AU8" s="58">
        <v>0.8</v>
      </c>
      <c r="AX8" s="38" t="s">
        <v>93</v>
      </c>
      <c r="AY8" s="38" t="s">
        <v>88</v>
      </c>
      <c r="AZ8" s="38" t="s">
        <v>89</v>
      </c>
      <c r="BA8" s="39">
        <v>5.5</v>
      </c>
      <c r="BB8" s="44" t="s">
        <v>47</v>
      </c>
      <c r="BC8" s="44" t="s">
        <v>49</v>
      </c>
      <c r="BD8" s="58">
        <v>1</v>
      </c>
      <c r="BG8" s="44" t="s">
        <v>221</v>
      </c>
      <c r="BH8" s="44" t="s">
        <v>230</v>
      </c>
      <c r="BI8" s="44" t="s">
        <v>233</v>
      </c>
      <c r="BJ8" s="39">
        <v>0</v>
      </c>
      <c r="BK8" s="66">
        <v>0</v>
      </c>
      <c r="BM8" s="44" t="s">
        <v>47</v>
      </c>
      <c r="BN8" s="44" t="s">
        <v>49</v>
      </c>
      <c r="BO8" s="58">
        <v>1.27</v>
      </c>
      <c r="BR8" s="44" t="s">
        <v>221</v>
      </c>
      <c r="BS8" s="44" t="s">
        <v>230</v>
      </c>
      <c r="BT8" s="44" t="s">
        <v>364</v>
      </c>
      <c r="BU8" s="39">
        <v>11.78</v>
      </c>
      <c r="BV8" s="66">
        <v>6000</v>
      </c>
    </row>
    <row r="9" spans="1:74" ht="18" customHeight="1">
      <c r="A9" s="44" t="s">
        <v>44</v>
      </c>
      <c r="B9" s="44" t="s">
        <v>49</v>
      </c>
      <c r="C9" s="58">
        <v>0.7</v>
      </c>
      <c r="F9" s="60" t="s">
        <v>276</v>
      </c>
      <c r="G9" s="44" t="s">
        <v>275</v>
      </c>
      <c r="H9" s="44" t="s">
        <v>241</v>
      </c>
      <c r="I9" s="39">
        <v>4</v>
      </c>
      <c r="J9" s="66">
        <v>1000</v>
      </c>
      <c r="L9" s="44" t="s">
        <v>44</v>
      </c>
      <c r="M9" s="44" t="s">
        <v>49</v>
      </c>
      <c r="N9" s="58">
        <v>0.7</v>
      </c>
      <c r="Q9" s="60" t="s">
        <v>5</v>
      </c>
      <c r="R9" s="44" t="s">
        <v>51</v>
      </c>
      <c r="S9" s="44" t="s">
        <v>232</v>
      </c>
      <c r="T9" s="39">
        <v>4</v>
      </c>
      <c r="U9" s="66">
        <v>1000</v>
      </c>
      <c r="W9" s="44" t="s">
        <v>44</v>
      </c>
      <c r="X9" s="44" t="s">
        <v>49</v>
      </c>
      <c r="Y9" s="58">
        <v>0.7</v>
      </c>
      <c r="AB9" s="60" t="s">
        <v>276</v>
      </c>
      <c r="AC9" s="44" t="s">
        <v>275</v>
      </c>
      <c r="AD9" s="44" t="s">
        <v>241</v>
      </c>
      <c r="AE9" s="39">
        <v>4</v>
      </c>
      <c r="AF9" s="66">
        <v>600</v>
      </c>
      <c r="AH9" s="44" t="s">
        <v>44</v>
      </c>
      <c r="AI9" s="44" t="s">
        <v>49</v>
      </c>
      <c r="AJ9" s="58">
        <v>0.5</v>
      </c>
      <c r="AM9" s="60" t="s">
        <v>276</v>
      </c>
      <c r="AN9" s="44" t="s">
        <v>275</v>
      </c>
      <c r="AO9" s="44" t="s">
        <v>241</v>
      </c>
      <c r="AP9" s="39">
        <v>4</v>
      </c>
      <c r="AQ9" s="66">
        <v>500</v>
      </c>
      <c r="AS9" s="44" t="s">
        <v>44</v>
      </c>
      <c r="AT9" s="44" t="s">
        <v>49</v>
      </c>
      <c r="AU9" s="58">
        <v>0.7</v>
      </c>
      <c r="AX9" s="50" t="s">
        <v>94</v>
      </c>
      <c r="AY9" s="38" t="s">
        <v>88</v>
      </c>
      <c r="AZ9" s="38" t="s">
        <v>95</v>
      </c>
      <c r="BA9" s="39">
        <f>ROUND(6.84/BA10*100,2)</f>
        <v>0.83</v>
      </c>
      <c r="BB9" s="44" t="s">
        <v>44</v>
      </c>
      <c r="BC9" s="44" t="s">
        <v>49</v>
      </c>
      <c r="BD9" s="58">
        <v>0.85</v>
      </c>
      <c r="BG9" s="60" t="s">
        <v>276</v>
      </c>
      <c r="BH9" s="44" t="s">
        <v>275</v>
      </c>
      <c r="BI9" s="44" t="s">
        <v>241</v>
      </c>
      <c r="BJ9" s="39">
        <v>4</v>
      </c>
      <c r="BK9" s="66">
        <v>400</v>
      </c>
      <c r="BM9" s="44" t="s">
        <v>44</v>
      </c>
      <c r="BN9" s="44" t="s">
        <v>49</v>
      </c>
      <c r="BO9" s="58">
        <v>0.78</v>
      </c>
      <c r="BR9" s="60" t="s">
        <v>314</v>
      </c>
      <c r="BS9" s="44" t="s">
        <v>315</v>
      </c>
      <c r="BT9" s="44" t="s">
        <v>316</v>
      </c>
      <c r="BU9" s="39">
        <v>1</v>
      </c>
      <c r="BV9" s="66">
        <v>0</v>
      </c>
    </row>
    <row r="10" spans="1:74" ht="18" customHeight="1">
      <c r="A10" s="44" t="s">
        <v>53</v>
      </c>
      <c r="B10" s="59" t="s">
        <v>130</v>
      </c>
      <c r="C10" s="58">
        <v>31.5</v>
      </c>
      <c r="F10" s="38" t="s">
        <v>249</v>
      </c>
      <c r="G10" s="38" t="s">
        <v>250</v>
      </c>
      <c r="H10" s="38" t="s">
        <v>234</v>
      </c>
      <c r="I10" s="39">
        <v>2</v>
      </c>
      <c r="J10" s="66">
        <v>1000</v>
      </c>
      <c r="L10" s="44" t="s">
        <v>53</v>
      </c>
      <c r="M10" s="59" t="s">
        <v>130</v>
      </c>
      <c r="N10" s="58">
        <v>73.08</v>
      </c>
      <c r="Q10" s="38" t="s">
        <v>6</v>
      </c>
      <c r="R10" s="38" t="s">
        <v>26</v>
      </c>
      <c r="S10" s="38" t="s">
        <v>234</v>
      </c>
      <c r="T10" s="39">
        <v>2</v>
      </c>
      <c r="U10" s="66">
        <v>0</v>
      </c>
      <c r="W10" s="44" t="s">
        <v>53</v>
      </c>
      <c r="X10" s="59" t="s">
        <v>130</v>
      </c>
      <c r="Y10" s="58">
        <f>50*0.8</f>
        <v>40</v>
      </c>
      <c r="AB10" s="38" t="s">
        <v>249</v>
      </c>
      <c r="AC10" s="38" t="s">
        <v>250</v>
      </c>
      <c r="AD10" s="38" t="s">
        <v>234</v>
      </c>
      <c r="AE10" s="39">
        <v>2</v>
      </c>
      <c r="AF10" s="66">
        <v>0</v>
      </c>
      <c r="AH10" s="44" t="s">
        <v>300</v>
      </c>
      <c r="AI10" s="59" t="s">
        <v>130</v>
      </c>
      <c r="AJ10" s="58">
        <v>2.4</v>
      </c>
      <c r="AM10" s="38" t="s">
        <v>249</v>
      </c>
      <c r="AN10" s="38" t="s">
        <v>250</v>
      </c>
      <c r="AO10" s="38" t="s">
        <v>234</v>
      </c>
      <c r="AP10" s="39">
        <v>2</v>
      </c>
      <c r="AQ10" s="66">
        <v>0</v>
      </c>
      <c r="AS10" s="44" t="s">
        <v>53</v>
      </c>
      <c r="AT10" s="59" t="s">
        <v>130</v>
      </c>
      <c r="AU10" s="58">
        <v>31.5</v>
      </c>
      <c r="AX10" s="50"/>
      <c r="AY10" s="38" t="s">
        <v>96</v>
      </c>
      <c r="AZ10" s="38" t="s">
        <v>66</v>
      </c>
      <c r="BA10" s="66">
        <v>825</v>
      </c>
      <c r="BB10" s="44" t="s">
        <v>157</v>
      </c>
      <c r="BC10" s="44" t="s">
        <v>162</v>
      </c>
      <c r="BD10" s="58">
        <f>0.67*50</f>
        <v>33.5</v>
      </c>
      <c r="BG10" s="38" t="s">
        <v>249</v>
      </c>
      <c r="BH10" s="38" t="s">
        <v>250</v>
      </c>
      <c r="BI10" s="38" t="s">
        <v>234</v>
      </c>
      <c r="BJ10" s="39">
        <v>2</v>
      </c>
      <c r="BK10" s="66">
        <v>0</v>
      </c>
      <c r="BM10" s="44" t="s">
        <v>53</v>
      </c>
      <c r="BN10" s="59" t="s">
        <v>225</v>
      </c>
      <c r="BO10" s="58">
        <v>0</v>
      </c>
      <c r="BR10" s="38" t="s">
        <v>249</v>
      </c>
      <c r="BS10" s="38" t="s">
        <v>250</v>
      </c>
      <c r="BT10" s="38" t="s">
        <v>234</v>
      </c>
      <c r="BU10" s="39">
        <v>2</v>
      </c>
      <c r="BV10" s="66">
        <v>0</v>
      </c>
    </row>
    <row r="11" spans="1:74" s="1" customFormat="1" ht="18" customHeight="1">
      <c r="A11" s="44" t="s">
        <v>54</v>
      </c>
      <c r="B11" s="44" t="s">
        <v>131</v>
      </c>
      <c r="C11" s="58">
        <v>5</v>
      </c>
      <c r="F11" s="38" t="s">
        <v>251</v>
      </c>
      <c r="G11" s="38" t="s">
        <v>230</v>
      </c>
      <c r="H11" s="38" t="s">
        <v>232</v>
      </c>
      <c r="I11" s="39">
        <v>24</v>
      </c>
      <c r="J11" s="66">
        <v>0</v>
      </c>
      <c r="K11"/>
      <c r="L11" s="44" t="s">
        <v>54</v>
      </c>
      <c r="M11" s="44" t="s">
        <v>131</v>
      </c>
      <c r="N11" s="58">
        <v>5.77</v>
      </c>
      <c r="O11" s="76"/>
      <c r="P11" s="76"/>
      <c r="Q11" s="38" t="s">
        <v>7</v>
      </c>
      <c r="R11" s="38" t="s">
        <v>127</v>
      </c>
      <c r="S11" s="38" t="s">
        <v>232</v>
      </c>
      <c r="T11" s="39">
        <v>24</v>
      </c>
      <c r="U11" s="66">
        <v>1000</v>
      </c>
      <c r="V11" s="75"/>
      <c r="W11" s="44" t="s">
        <v>54</v>
      </c>
      <c r="X11" s="44" t="s">
        <v>131</v>
      </c>
      <c r="Y11" s="58">
        <v>5</v>
      </c>
      <c r="AB11" s="38" t="s">
        <v>251</v>
      </c>
      <c r="AC11" s="38" t="s">
        <v>230</v>
      </c>
      <c r="AD11" s="38" t="s">
        <v>232</v>
      </c>
      <c r="AE11" s="39">
        <v>24</v>
      </c>
      <c r="AF11" s="66">
        <v>600</v>
      </c>
      <c r="AG11"/>
      <c r="AH11" s="44" t="s">
        <v>54</v>
      </c>
      <c r="AI11" s="44" t="s">
        <v>131</v>
      </c>
      <c r="AJ11" s="58">
        <v>5</v>
      </c>
      <c r="AM11" s="38" t="s">
        <v>251</v>
      </c>
      <c r="AN11" s="38" t="s">
        <v>230</v>
      </c>
      <c r="AO11" s="38" t="s">
        <v>232</v>
      </c>
      <c r="AP11" s="39">
        <v>24</v>
      </c>
      <c r="AQ11" s="66">
        <v>0</v>
      </c>
      <c r="AS11" s="44" t="s">
        <v>54</v>
      </c>
      <c r="AT11" s="44" t="s">
        <v>131</v>
      </c>
      <c r="AU11" s="58">
        <v>0</v>
      </c>
      <c r="AX11" s="38" t="s">
        <v>97</v>
      </c>
      <c r="AY11" s="38" t="s">
        <v>88</v>
      </c>
      <c r="AZ11" s="38" t="s">
        <v>69</v>
      </c>
      <c r="BA11" s="39">
        <v>18</v>
      </c>
      <c r="BB11" s="44" t="s">
        <v>163</v>
      </c>
      <c r="BC11" s="44" t="s">
        <v>158</v>
      </c>
      <c r="BD11" s="58">
        <v>3.89</v>
      </c>
      <c r="BG11" s="38" t="s">
        <v>251</v>
      </c>
      <c r="BH11" s="38" t="s">
        <v>230</v>
      </c>
      <c r="BI11" s="38" t="s">
        <v>232</v>
      </c>
      <c r="BJ11" s="39">
        <v>24</v>
      </c>
      <c r="BK11" s="66">
        <v>400</v>
      </c>
      <c r="BM11" s="44" t="s">
        <v>54</v>
      </c>
      <c r="BN11" s="44" t="s">
        <v>131</v>
      </c>
      <c r="BO11" s="58">
        <v>0</v>
      </c>
      <c r="BP11" s="76"/>
      <c r="BQ11" s="76"/>
      <c r="BR11" s="38" t="s">
        <v>251</v>
      </c>
      <c r="BS11" s="38" t="s">
        <v>186</v>
      </c>
      <c r="BT11" s="38" t="s">
        <v>232</v>
      </c>
      <c r="BU11" s="39">
        <v>4</v>
      </c>
      <c r="BV11" s="66">
        <v>0</v>
      </c>
    </row>
    <row r="12" spans="1:74" s="1" customFormat="1" ht="18" customHeight="1">
      <c r="A12" s="60" t="s">
        <v>67</v>
      </c>
      <c r="B12" s="44" t="s">
        <v>132</v>
      </c>
      <c r="C12" s="58">
        <v>8.2500000000000004E-2</v>
      </c>
      <c r="F12" s="38" t="s">
        <v>202</v>
      </c>
      <c r="G12" s="38" t="s">
        <v>230</v>
      </c>
      <c r="H12" s="38" t="s">
        <v>232</v>
      </c>
      <c r="I12" s="39">
        <v>8</v>
      </c>
      <c r="J12" s="66">
        <v>0</v>
      </c>
      <c r="K12"/>
      <c r="L12" s="60" t="s">
        <v>67</v>
      </c>
      <c r="M12" s="44" t="s">
        <v>132</v>
      </c>
      <c r="N12" s="58">
        <v>9.5000000000000001E-2</v>
      </c>
      <c r="O12" s="76"/>
      <c r="P12" s="76"/>
      <c r="Q12" s="38" t="s">
        <v>202</v>
      </c>
      <c r="R12" s="38" t="s">
        <v>127</v>
      </c>
      <c r="S12" s="38" t="s">
        <v>232</v>
      </c>
      <c r="T12" s="39">
        <v>8</v>
      </c>
      <c r="U12" s="66">
        <v>0</v>
      </c>
      <c r="V12" s="75"/>
      <c r="W12" s="60" t="s">
        <v>67</v>
      </c>
      <c r="X12" s="44" t="s">
        <v>132</v>
      </c>
      <c r="Y12" s="58">
        <v>4</v>
      </c>
      <c r="AB12" s="38" t="s">
        <v>202</v>
      </c>
      <c r="AC12" s="38" t="s">
        <v>230</v>
      </c>
      <c r="AD12" s="38" t="s">
        <v>232</v>
      </c>
      <c r="AE12" s="39">
        <v>8</v>
      </c>
      <c r="AF12" s="66">
        <v>0</v>
      </c>
      <c r="AG12"/>
      <c r="AH12" s="60" t="s">
        <v>67</v>
      </c>
      <c r="AI12" s="44" t="s">
        <v>132</v>
      </c>
      <c r="AJ12" s="58">
        <v>0.02</v>
      </c>
      <c r="AM12" s="38" t="s">
        <v>202</v>
      </c>
      <c r="AN12" s="38" t="s">
        <v>230</v>
      </c>
      <c r="AO12" s="38" t="s">
        <v>232</v>
      </c>
      <c r="AP12" s="39">
        <v>8</v>
      </c>
      <c r="AQ12" s="66">
        <v>500</v>
      </c>
      <c r="AS12" s="60" t="s">
        <v>65</v>
      </c>
      <c r="AT12" s="44" t="s">
        <v>132</v>
      </c>
      <c r="AU12" s="58">
        <v>0.1</v>
      </c>
      <c r="AX12" s="38" t="s">
        <v>68</v>
      </c>
      <c r="AY12" s="38" t="s">
        <v>88</v>
      </c>
      <c r="AZ12" s="38" t="s">
        <v>69</v>
      </c>
      <c r="BA12" s="39">
        <v>4</v>
      </c>
      <c r="BB12" s="44" t="s">
        <v>54</v>
      </c>
      <c r="BC12" s="44" t="s">
        <v>164</v>
      </c>
      <c r="BD12" s="58">
        <v>5.77</v>
      </c>
      <c r="BG12" s="38" t="s">
        <v>202</v>
      </c>
      <c r="BH12" s="38" t="s">
        <v>230</v>
      </c>
      <c r="BI12" s="38" t="s">
        <v>232</v>
      </c>
      <c r="BJ12" s="39">
        <v>8</v>
      </c>
      <c r="BK12" s="66">
        <v>0</v>
      </c>
      <c r="BM12" s="60" t="s">
        <v>67</v>
      </c>
      <c r="BN12" s="44" t="s">
        <v>66</v>
      </c>
      <c r="BO12" s="58">
        <v>0.17</v>
      </c>
      <c r="BP12" s="76"/>
      <c r="BQ12" s="76"/>
      <c r="BR12" s="38" t="s">
        <v>202</v>
      </c>
      <c r="BS12" s="38" t="s">
        <v>230</v>
      </c>
      <c r="BT12" s="38" t="s">
        <v>232</v>
      </c>
      <c r="BU12" s="39">
        <v>2</v>
      </c>
      <c r="BV12" s="66">
        <v>0</v>
      </c>
    </row>
    <row r="13" spans="1:74" s="1" customFormat="1" ht="18" customHeight="1">
      <c r="A13" s="44" t="s">
        <v>142</v>
      </c>
      <c r="B13" s="44" t="s">
        <v>147</v>
      </c>
      <c r="C13" s="58">
        <v>0.5</v>
      </c>
      <c r="F13" s="38" t="s">
        <v>252</v>
      </c>
      <c r="G13" s="38" t="s">
        <v>253</v>
      </c>
      <c r="H13" s="38" t="s">
        <v>234</v>
      </c>
      <c r="I13" s="39">
        <f>I10</f>
        <v>2</v>
      </c>
      <c r="J13" s="66">
        <f>J10</f>
        <v>1000</v>
      </c>
      <c r="K13"/>
      <c r="L13" s="44" t="s">
        <v>142</v>
      </c>
      <c r="M13" s="44" t="s">
        <v>147</v>
      </c>
      <c r="N13" s="58">
        <v>0.7</v>
      </c>
      <c r="O13" s="76"/>
      <c r="P13" s="76"/>
      <c r="Q13" s="38" t="s">
        <v>90</v>
      </c>
      <c r="R13" s="38" t="s">
        <v>25</v>
      </c>
      <c r="S13" s="38" t="s">
        <v>234</v>
      </c>
      <c r="T13" s="39">
        <f>T10</f>
        <v>2</v>
      </c>
      <c r="U13" s="66">
        <f>U10</f>
        <v>0</v>
      </c>
      <c r="V13" s="75"/>
      <c r="W13" s="44" t="s">
        <v>143</v>
      </c>
      <c r="X13" s="44" t="s">
        <v>320</v>
      </c>
      <c r="Y13" s="58">
        <v>0.5</v>
      </c>
      <c r="AB13" s="38" t="s">
        <v>252</v>
      </c>
      <c r="AC13" s="38" t="s">
        <v>253</v>
      </c>
      <c r="AD13" s="38" t="s">
        <v>234</v>
      </c>
      <c r="AE13" s="39">
        <f>AE10</f>
        <v>2</v>
      </c>
      <c r="AF13" s="66">
        <f>AF10</f>
        <v>0</v>
      </c>
      <c r="AG13"/>
      <c r="AH13" s="44" t="s">
        <v>143</v>
      </c>
      <c r="AI13" s="44" t="s">
        <v>147</v>
      </c>
      <c r="AJ13" s="58">
        <v>0.5</v>
      </c>
      <c r="AM13" s="38" t="s">
        <v>252</v>
      </c>
      <c r="AN13" s="38" t="s">
        <v>253</v>
      </c>
      <c r="AO13" s="38" t="s">
        <v>234</v>
      </c>
      <c r="AP13" s="39">
        <f>AP10</f>
        <v>2</v>
      </c>
      <c r="AQ13" s="66">
        <f>AQ10</f>
        <v>0</v>
      </c>
      <c r="AU13" s="12"/>
      <c r="AX13" s="38" t="s">
        <v>15</v>
      </c>
      <c r="AY13" s="38" t="s">
        <v>88</v>
      </c>
      <c r="AZ13" s="38" t="s">
        <v>69</v>
      </c>
      <c r="BA13" s="39"/>
      <c r="BB13" s="60" t="s">
        <v>165</v>
      </c>
      <c r="BC13" s="44" t="s">
        <v>166</v>
      </c>
      <c r="BD13" s="58">
        <v>0.68</v>
      </c>
      <c r="BG13" s="38" t="s">
        <v>252</v>
      </c>
      <c r="BH13" s="38" t="s">
        <v>253</v>
      </c>
      <c r="BI13" s="38" t="s">
        <v>234</v>
      </c>
      <c r="BJ13" s="39">
        <f>BJ10</f>
        <v>2</v>
      </c>
      <c r="BK13" s="66">
        <f>BK10</f>
        <v>0</v>
      </c>
      <c r="BM13" s="44" t="s">
        <v>142</v>
      </c>
      <c r="BN13" s="44" t="s">
        <v>321</v>
      </c>
      <c r="BO13" s="58">
        <v>0</v>
      </c>
      <c r="BP13" s="76"/>
      <c r="BQ13" s="76"/>
      <c r="BR13" s="38" t="s">
        <v>252</v>
      </c>
      <c r="BS13" s="38" t="s">
        <v>27</v>
      </c>
      <c r="BT13" s="38" t="s">
        <v>232</v>
      </c>
      <c r="BU13" s="39">
        <f>BU10</f>
        <v>2</v>
      </c>
      <c r="BV13" s="66">
        <v>0</v>
      </c>
    </row>
    <row r="14" spans="1:74" s="1" customFormat="1" ht="18" customHeight="1">
      <c r="A14" s="44" t="s">
        <v>289</v>
      </c>
      <c r="B14" s="59" t="s">
        <v>290</v>
      </c>
      <c r="C14" s="58">
        <v>4.84</v>
      </c>
      <c r="F14" s="44" t="s">
        <v>203</v>
      </c>
      <c r="G14" s="44" t="s">
        <v>204</v>
      </c>
      <c r="H14" s="44" t="s">
        <v>235</v>
      </c>
      <c r="I14" s="39">
        <v>0.5</v>
      </c>
      <c r="J14" s="66">
        <v>0</v>
      </c>
      <c r="K14"/>
      <c r="L14" s="44" t="s">
        <v>151</v>
      </c>
      <c r="M14" s="59" t="s">
        <v>104</v>
      </c>
      <c r="N14" s="58">
        <v>5</v>
      </c>
      <c r="O14" s="76"/>
      <c r="P14" s="76"/>
      <c r="Q14" s="44" t="s">
        <v>203</v>
      </c>
      <c r="R14" s="44" t="s">
        <v>106</v>
      </c>
      <c r="S14" s="44" t="s">
        <v>234</v>
      </c>
      <c r="T14" s="39">
        <v>0.5</v>
      </c>
      <c r="U14" s="66">
        <v>1000</v>
      </c>
      <c r="V14" s="75"/>
      <c r="W14" s="44" t="s">
        <v>151</v>
      </c>
      <c r="X14" s="59" t="s">
        <v>152</v>
      </c>
      <c r="Y14" s="58">
        <v>5</v>
      </c>
      <c r="AB14" s="44" t="s">
        <v>203</v>
      </c>
      <c r="AC14" s="44" t="s">
        <v>204</v>
      </c>
      <c r="AD14" s="44" t="s">
        <v>235</v>
      </c>
      <c r="AE14" s="39">
        <v>0.5</v>
      </c>
      <c r="AF14" s="66">
        <v>0</v>
      </c>
      <c r="AG14"/>
      <c r="AH14" s="44" t="s">
        <v>151</v>
      </c>
      <c r="AI14" s="59" t="s">
        <v>73</v>
      </c>
      <c r="AJ14" s="58">
        <v>5</v>
      </c>
      <c r="AM14" s="44" t="s">
        <v>203</v>
      </c>
      <c r="AN14" s="44" t="s">
        <v>204</v>
      </c>
      <c r="AO14" s="44" t="s">
        <v>235</v>
      </c>
      <c r="AP14" s="39">
        <v>0.5</v>
      </c>
      <c r="AQ14" s="66">
        <v>0</v>
      </c>
      <c r="AS14" s="32" t="s">
        <v>119</v>
      </c>
      <c r="AU14" s="12"/>
      <c r="AX14" s="49" t="s">
        <v>98</v>
      </c>
      <c r="AY14" s="38" t="s">
        <v>88</v>
      </c>
      <c r="AZ14" s="38" t="s">
        <v>69</v>
      </c>
      <c r="BA14" s="39"/>
      <c r="BB14" s="44" t="s">
        <v>167</v>
      </c>
      <c r="BC14" s="44" t="s">
        <v>168</v>
      </c>
      <c r="BD14" s="58">
        <v>2.4300000000000002</v>
      </c>
      <c r="BG14" s="44" t="s">
        <v>203</v>
      </c>
      <c r="BH14" s="44" t="s">
        <v>204</v>
      </c>
      <c r="BI14" s="44" t="s">
        <v>235</v>
      </c>
      <c r="BJ14" s="39">
        <v>0.5</v>
      </c>
      <c r="BK14" s="66">
        <v>0</v>
      </c>
      <c r="BM14" s="44" t="s">
        <v>289</v>
      </c>
      <c r="BN14" s="59" t="s">
        <v>290</v>
      </c>
      <c r="BO14" s="58">
        <v>0</v>
      </c>
      <c r="BP14" s="76"/>
      <c r="BQ14" s="76"/>
      <c r="BR14" s="44" t="s">
        <v>203</v>
      </c>
      <c r="BS14" s="44" t="s">
        <v>204</v>
      </c>
      <c r="BT14" s="44" t="s">
        <v>235</v>
      </c>
      <c r="BU14" s="39">
        <v>0.5</v>
      </c>
      <c r="BV14" s="66">
        <v>0</v>
      </c>
    </row>
    <row r="15" spans="1:74" s="1" customFormat="1" ht="18" customHeight="1">
      <c r="A15" s="44" t="s">
        <v>153</v>
      </c>
      <c r="B15" s="44" t="s">
        <v>131</v>
      </c>
      <c r="C15" s="58">
        <v>4.84</v>
      </c>
      <c r="F15" s="38" t="s">
        <v>254</v>
      </c>
      <c r="G15" s="38" t="s">
        <v>230</v>
      </c>
      <c r="H15" s="38" t="s">
        <v>232</v>
      </c>
      <c r="I15" s="39">
        <v>8</v>
      </c>
      <c r="J15" s="66">
        <f>J10</f>
        <v>1000</v>
      </c>
      <c r="K15"/>
      <c r="L15" s="44" t="s">
        <v>153</v>
      </c>
      <c r="M15" s="44" t="s">
        <v>131</v>
      </c>
      <c r="N15" s="58">
        <v>4.82</v>
      </c>
      <c r="O15" s="76"/>
      <c r="P15" s="76"/>
      <c r="Q15" s="38" t="s">
        <v>10</v>
      </c>
      <c r="R15" s="38" t="s">
        <v>127</v>
      </c>
      <c r="S15" s="38" t="s">
        <v>232</v>
      </c>
      <c r="T15" s="39">
        <v>8</v>
      </c>
      <c r="U15" s="66">
        <v>1000</v>
      </c>
      <c r="V15" s="75"/>
      <c r="W15" s="44" t="s">
        <v>153</v>
      </c>
      <c r="X15" s="44" t="s">
        <v>131</v>
      </c>
      <c r="Y15" s="58">
        <v>5</v>
      </c>
      <c r="AB15" s="38" t="s">
        <v>254</v>
      </c>
      <c r="AC15" s="38" t="s">
        <v>230</v>
      </c>
      <c r="AD15" s="38" t="s">
        <v>232</v>
      </c>
      <c r="AE15" s="39">
        <v>8</v>
      </c>
      <c r="AF15" s="66">
        <v>600</v>
      </c>
      <c r="AG15"/>
      <c r="AH15" s="44" t="s">
        <v>153</v>
      </c>
      <c r="AI15" s="44" t="s">
        <v>131</v>
      </c>
      <c r="AJ15" s="58">
        <v>5</v>
      </c>
      <c r="AM15" s="38" t="s">
        <v>254</v>
      </c>
      <c r="AN15" s="38" t="s">
        <v>230</v>
      </c>
      <c r="AO15" s="38" t="s">
        <v>232</v>
      </c>
      <c r="AP15" s="39">
        <v>8</v>
      </c>
      <c r="AQ15" s="66">
        <v>500</v>
      </c>
      <c r="AS15" s="44" t="s">
        <v>136</v>
      </c>
      <c r="AT15" s="119" t="s">
        <v>113</v>
      </c>
      <c r="AU15" s="120"/>
      <c r="AV15" s="55" t="s">
        <v>137</v>
      </c>
      <c r="AX15" s="51"/>
      <c r="AY15" s="38" t="s">
        <v>99</v>
      </c>
      <c r="AZ15" s="38" t="s">
        <v>100</v>
      </c>
      <c r="BA15" s="39"/>
      <c r="BB15" s="44" t="s">
        <v>151</v>
      </c>
      <c r="BC15" s="44" t="s">
        <v>158</v>
      </c>
      <c r="BD15" s="58">
        <v>4.84</v>
      </c>
      <c r="BG15" s="38" t="s">
        <v>254</v>
      </c>
      <c r="BH15" s="38" t="s">
        <v>230</v>
      </c>
      <c r="BI15" s="38" t="s">
        <v>232</v>
      </c>
      <c r="BJ15" s="39">
        <v>5.5</v>
      </c>
      <c r="BK15" s="66">
        <v>400</v>
      </c>
      <c r="BM15" s="44" t="s">
        <v>153</v>
      </c>
      <c r="BN15" s="44" t="s">
        <v>131</v>
      </c>
      <c r="BO15" s="58">
        <v>0</v>
      </c>
      <c r="BP15" s="76"/>
      <c r="BQ15" s="76"/>
      <c r="BR15" s="38" t="s">
        <v>254</v>
      </c>
      <c r="BS15" s="38" t="s">
        <v>230</v>
      </c>
      <c r="BT15" s="38" t="s">
        <v>232</v>
      </c>
      <c r="BU15" s="39">
        <v>1.05</v>
      </c>
      <c r="BV15" s="66">
        <v>0</v>
      </c>
    </row>
    <row r="16" spans="1:74" s="1" customFormat="1" ht="18" customHeight="1">
      <c r="A16" s="76"/>
      <c r="B16" s="76"/>
      <c r="C16" s="76"/>
      <c r="D16" s="76"/>
      <c r="F16" s="52" t="s">
        <v>205</v>
      </c>
      <c r="G16" s="44" t="s">
        <v>230</v>
      </c>
      <c r="H16" s="38" t="s">
        <v>222</v>
      </c>
      <c r="I16" s="103">
        <v>4.5</v>
      </c>
      <c r="J16" s="66">
        <v>0</v>
      </c>
      <c r="K16"/>
      <c r="L16" s="76"/>
      <c r="M16" s="76"/>
      <c r="N16" s="76"/>
      <c r="O16" s="76"/>
      <c r="P16" s="76"/>
      <c r="Q16" s="52" t="s">
        <v>176</v>
      </c>
      <c r="R16" s="44" t="s">
        <v>127</v>
      </c>
      <c r="S16" s="38" t="s">
        <v>102</v>
      </c>
      <c r="T16" s="103">
        <v>4.5</v>
      </c>
      <c r="U16" s="66">
        <v>1000</v>
      </c>
      <c r="V16" s="75"/>
      <c r="AB16" s="52" t="s">
        <v>205</v>
      </c>
      <c r="AC16" s="44" t="s">
        <v>230</v>
      </c>
      <c r="AD16" s="38" t="s">
        <v>222</v>
      </c>
      <c r="AE16" s="103">
        <v>3</v>
      </c>
      <c r="AF16" s="66">
        <v>600</v>
      </c>
      <c r="AG16"/>
      <c r="AH16" s="76"/>
      <c r="AI16" s="76"/>
      <c r="AJ16" s="76"/>
      <c r="AM16" s="52" t="s">
        <v>205</v>
      </c>
      <c r="AN16" s="44" t="s">
        <v>230</v>
      </c>
      <c r="AO16" s="38" t="s">
        <v>222</v>
      </c>
      <c r="AP16" s="103">
        <v>3</v>
      </c>
      <c r="AQ16" s="66">
        <v>0</v>
      </c>
      <c r="AS16" s="44" t="s">
        <v>138</v>
      </c>
      <c r="AT16" s="117" t="s">
        <v>114</v>
      </c>
      <c r="AU16" s="118"/>
      <c r="AV16" s="67">
        <v>0.106</v>
      </c>
      <c r="AX16" s="50" t="s">
        <v>101</v>
      </c>
      <c r="AY16" s="38" t="s">
        <v>88</v>
      </c>
      <c r="AZ16" s="38" t="s">
        <v>102</v>
      </c>
      <c r="BA16" s="39">
        <v>2.36</v>
      </c>
      <c r="BB16" s="44" t="s">
        <v>305</v>
      </c>
      <c r="BC16" s="44" t="s">
        <v>164</v>
      </c>
      <c r="BD16" s="58">
        <v>4.84</v>
      </c>
      <c r="BE16" s="76"/>
      <c r="BG16" s="44" t="s">
        <v>307</v>
      </c>
      <c r="BH16" s="38" t="s">
        <v>230</v>
      </c>
      <c r="BI16" s="38" t="s">
        <v>232</v>
      </c>
      <c r="BJ16" s="39">
        <v>13.6</v>
      </c>
      <c r="BK16" s="66">
        <v>400</v>
      </c>
      <c r="BM16" s="76"/>
      <c r="BN16" s="76"/>
      <c r="BO16" s="76"/>
      <c r="BP16" s="76"/>
      <c r="BQ16" s="76"/>
      <c r="BR16" s="49" t="s">
        <v>98</v>
      </c>
      <c r="BS16" s="38" t="s">
        <v>331</v>
      </c>
      <c r="BT16" s="38" t="s">
        <v>332</v>
      </c>
      <c r="BU16" s="58">
        <v>80</v>
      </c>
      <c r="BV16" s="66">
        <v>500</v>
      </c>
    </row>
    <row r="17" spans="1:75" s="1" customFormat="1" ht="18" customHeight="1">
      <c r="A17" s="32" t="s">
        <v>279</v>
      </c>
      <c r="B17" s="76"/>
      <c r="C17" s="76"/>
      <c r="D17" s="76"/>
      <c r="F17" s="54"/>
      <c r="G17" s="44" t="s">
        <v>223</v>
      </c>
      <c r="H17" s="38" t="s">
        <v>236</v>
      </c>
      <c r="I17" s="104">
        <v>111</v>
      </c>
      <c r="J17" s="66"/>
      <c r="K17"/>
      <c r="L17" s="32" t="s">
        <v>279</v>
      </c>
      <c r="M17" s="76"/>
      <c r="N17" s="76"/>
      <c r="O17" s="76"/>
      <c r="P17" s="76"/>
      <c r="Q17" s="54"/>
      <c r="R17" s="44" t="s">
        <v>103</v>
      </c>
      <c r="S17" s="38" t="s">
        <v>236</v>
      </c>
      <c r="T17" s="104">
        <v>111</v>
      </c>
      <c r="U17" s="66"/>
      <c r="V17" s="75"/>
      <c r="W17" s="32" t="s">
        <v>279</v>
      </c>
      <c r="X17" s="76"/>
      <c r="Y17" s="76"/>
      <c r="AB17" s="54"/>
      <c r="AC17" s="44" t="s">
        <v>223</v>
      </c>
      <c r="AD17" s="38" t="s">
        <v>236</v>
      </c>
      <c r="AE17" s="104">
        <v>111</v>
      </c>
      <c r="AF17" s="66"/>
      <c r="AG17"/>
      <c r="AH17" s="32" t="s">
        <v>279</v>
      </c>
      <c r="AI17" s="76"/>
      <c r="AJ17" s="76"/>
      <c r="AM17" s="54"/>
      <c r="AN17" s="44" t="s">
        <v>223</v>
      </c>
      <c r="AO17" s="38" t="s">
        <v>236</v>
      </c>
      <c r="AP17" s="104">
        <v>111</v>
      </c>
      <c r="AQ17" s="66"/>
      <c r="AS17" s="44" t="s">
        <v>112</v>
      </c>
      <c r="AT17" s="117" t="s">
        <v>115</v>
      </c>
      <c r="AU17" s="118"/>
      <c r="AV17" s="68">
        <v>0.06</v>
      </c>
      <c r="AX17" s="50"/>
      <c r="AY17" s="38" t="s">
        <v>103</v>
      </c>
      <c r="AZ17" s="38" t="s">
        <v>104</v>
      </c>
      <c r="BA17" s="58">
        <v>165</v>
      </c>
      <c r="BE17" s="76"/>
      <c r="BG17" s="52" t="s">
        <v>205</v>
      </c>
      <c r="BH17" s="44" t="s">
        <v>230</v>
      </c>
      <c r="BI17" s="38" t="s">
        <v>259</v>
      </c>
      <c r="BJ17" s="103">
        <v>8</v>
      </c>
      <c r="BK17" s="66">
        <v>400</v>
      </c>
      <c r="BM17" s="32" t="s">
        <v>279</v>
      </c>
      <c r="BN17" s="76"/>
      <c r="BO17" s="76"/>
      <c r="BP17" s="76"/>
      <c r="BQ17" s="76"/>
      <c r="BR17" s="51"/>
      <c r="BS17" s="38" t="s">
        <v>264</v>
      </c>
      <c r="BT17" s="38" t="s">
        <v>332</v>
      </c>
      <c r="BU17" s="58">
        <v>122</v>
      </c>
      <c r="BV17" s="66">
        <v>500</v>
      </c>
    </row>
    <row r="18" spans="1:75" s="1" customFormat="1" ht="18" customHeight="1">
      <c r="A18" s="95" t="s">
        <v>281</v>
      </c>
      <c r="B18" s="95" t="s">
        <v>283</v>
      </c>
      <c r="C18" s="95" t="s">
        <v>358</v>
      </c>
      <c r="D18" s="76"/>
      <c r="F18" s="49" t="s">
        <v>255</v>
      </c>
      <c r="G18" s="38" t="s">
        <v>230</v>
      </c>
      <c r="H18" s="38" t="s">
        <v>256</v>
      </c>
      <c r="I18" s="39">
        <v>0.71</v>
      </c>
      <c r="J18" s="66">
        <v>1000</v>
      </c>
      <c r="K18"/>
      <c r="L18" s="95" t="s">
        <v>82</v>
      </c>
      <c r="M18" s="95" t="s">
        <v>283</v>
      </c>
      <c r="N18" s="95" t="s">
        <v>358</v>
      </c>
      <c r="O18" s="76"/>
      <c r="P18" s="76"/>
      <c r="Q18" s="49" t="s">
        <v>255</v>
      </c>
      <c r="R18" s="38" t="s">
        <v>127</v>
      </c>
      <c r="S18" s="38" t="s">
        <v>95</v>
      </c>
      <c r="T18" s="39">
        <v>0.64</v>
      </c>
      <c r="U18" s="66">
        <v>1000</v>
      </c>
      <c r="V18" s="75"/>
      <c r="W18" s="95" t="s">
        <v>281</v>
      </c>
      <c r="X18" s="95" t="s">
        <v>283</v>
      </c>
      <c r="Y18" s="95" t="s">
        <v>358</v>
      </c>
      <c r="AB18" s="49" t="s">
        <v>255</v>
      </c>
      <c r="AC18" s="38" t="s">
        <v>230</v>
      </c>
      <c r="AD18" s="38" t="s">
        <v>256</v>
      </c>
      <c r="AE18" s="39">
        <v>6.5</v>
      </c>
      <c r="AF18" s="66">
        <v>600</v>
      </c>
      <c r="AG18"/>
      <c r="AH18" s="95" t="s">
        <v>281</v>
      </c>
      <c r="AI18" s="95" t="s">
        <v>283</v>
      </c>
      <c r="AJ18" s="95" t="s">
        <v>358</v>
      </c>
      <c r="AM18" s="49" t="s">
        <v>255</v>
      </c>
      <c r="AN18" s="38" t="s">
        <v>230</v>
      </c>
      <c r="AO18" s="38" t="s">
        <v>256</v>
      </c>
      <c r="AP18" s="39">
        <v>0.53</v>
      </c>
      <c r="AQ18" s="66">
        <v>500</v>
      </c>
      <c r="AS18" s="44" t="s">
        <v>139</v>
      </c>
      <c r="AT18" s="117" t="s">
        <v>140</v>
      </c>
      <c r="AU18" s="118"/>
      <c r="AV18" s="65" t="s">
        <v>141</v>
      </c>
      <c r="AX18" s="38" t="s">
        <v>105</v>
      </c>
      <c r="AY18" s="38" t="s">
        <v>106</v>
      </c>
      <c r="AZ18" s="38" t="s">
        <v>86</v>
      </c>
      <c r="BA18" s="39">
        <v>0</v>
      </c>
      <c r="BB18" s="32" t="s">
        <v>279</v>
      </c>
      <c r="BC18" s="76"/>
      <c r="BD18" s="76"/>
      <c r="BG18" s="54"/>
      <c r="BH18" s="44" t="s">
        <v>308</v>
      </c>
      <c r="BI18" s="38" t="s">
        <v>236</v>
      </c>
      <c r="BJ18" s="104">
        <v>111</v>
      </c>
      <c r="BK18" s="66"/>
      <c r="BM18" s="95" t="s">
        <v>281</v>
      </c>
      <c r="BN18" s="95" t="s">
        <v>283</v>
      </c>
      <c r="BO18" s="44"/>
      <c r="BP18" s="76"/>
      <c r="BQ18" s="76"/>
      <c r="BR18" s="49" t="s">
        <v>255</v>
      </c>
      <c r="BS18" s="38" t="s">
        <v>230</v>
      </c>
      <c r="BT18" s="38" t="s">
        <v>256</v>
      </c>
      <c r="BU18" s="39">
        <v>0.19</v>
      </c>
      <c r="BV18" s="66">
        <v>500</v>
      </c>
    </row>
    <row r="19" spans="1:75" ht="18" customHeight="1">
      <c r="A19" s="95" t="s">
        <v>280</v>
      </c>
      <c r="B19" s="66">
        <v>1</v>
      </c>
      <c r="C19" s="95"/>
      <c r="D19" s="76"/>
      <c r="F19" s="50"/>
      <c r="G19" s="38" t="s">
        <v>257</v>
      </c>
      <c r="H19" s="38" t="s">
        <v>237</v>
      </c>
      <c r="I19" s="58">
        <v>825</v>
      </c>
      <c r="J19" s="66" t="s">
        <v>295</v>
      </c>
      <c r="L19" s="95" t="s">
        <v>280</v>
      </c>
      <c r="M19" s="66">
        <v>2</v>
      </c>
      <c r="N19" s="44" t="s">
        <v>357</v>
      </c>
      <c r="O19" s="76"/>
      <c r="Q19" s="50"/>
      <c r="R19" s="38" t="s">
        <v>67</v>
      </c>
      <c r="S19" s="38" t="s">
        <v>237</v>
      </c>
      <c r="T19" s="66">
        <v>1110</v>
      </c>
      <c r="U19" s="66" t="s">
        <v>212</v>
      </c>
      <c r="W19" s="95" t="s">
        <v>280</v>
      </c>
      <c r="X19" s="66">
        <v>3</v>
      </c>
      <c r="Y19" s="44" t="s">
        <v>357</v>
      </c>
      <c r="AB19" s="50"/>
      <c r="AC19" s="38" t="s">
        <v>257</v>
      </c>
      <c r="AD19" s="38" t="s">
        <v>237</v>
      </c>
      <c r="AE19" s="58">
        <v>140</v>
      </c>
      <c r="AF19" s="66" t="s">
        <v>295</v>
      </c>
      <c r="AH19" s="95" t="s">
        <v>280</v>
      </c>
      <c r="AI19" s="66">
        <v>1</v>
      </c>
      <c r="AJ19" s="44" t="s">
        <v>357</v>
      </c>
      <c r="AM19" s="50"/>
      <c r="AN19" s="38" t="s">
        <v>257</v>
      </c>
      <c r="AO19" s="38" t="s">
        <v>237</v>
      </c>
      <c r="AP19" s="66">
        <v>4900</v>
      </c>
      <c r="AQ19" s="66" t="s">
        <v>295</v>
      </c>
      <c r="AX19" s="38" t="s">
        <v>107</v>
      </c>
      <c r="AY19" s="38" t="s">
        <v>88</v>
      </c>
      <c r="AZ19" s="38" t="s">
        <v>89</v>
      </c>
      <c r="BA19" s="39">
        <v>0</v>
      </c>
      <c r="BB19" s="95" t="s">
        <v>281</v>
      </c>
      <c r="BC19" s="95" t="s">
        <v>283</v>
      </c>
      <c r="BD19" s="95" t="s">
        <v>358</v>
      </c>
      <c r="BG19" s="49" t="s">
        <v>255</v>
      </c>
      <c r="BH19" s="38" t="s">
        <v>230</v>
      </c>
      <c r="BI19" s="38" t="s">
        <v>256</v>
      </c>
      <c r="BJ19" s="39">
        <v>2.88</v>
      </c>
      <c r="BK19" s="66">
        <v>400</v>
      </c>
      <c r="BM19" s="95" t="s">
        <v>280</v>
      </c>
      <c r="BN19" s="66">
        <v>0</v>
      </c>
      <c r="BO19" s="44"/>
      <c r="BP19" s="76"/>
      <c r="BR19" s="50"/>
      <c r="BS19" s="38" t="s">
        <v>257</v>
      </c>
      <c r="BT19" s="38" t="s">
        <v>237</v>
      </c>
      <c r="BU19" s="66">
        <v>1000</v>
      </c>
      <c r="BV19" s="66" t="s">
        <v>295</v>
      </c>
    </row>
    <row r="20" spans="1:75" ht="18" customHeight="1">
      <c r="A20" s="95" t="s">
        <v>284</v>
      </c>
      <c r="B20" s="66">
        <v>1</v>
      </c>
      <c r="C20" s="44"/>
      <c r="D20" s="75"/>
      <c r="F20" s="54"/>
      <c r="G20" s="44" t="s">
        <v>200</v>
      </c>
      <c r="H20" s="44" t="s">
        <v>238</v>
      </c>
      <c r="I20" s="58">
        <f>I19</f>
        <v>825</v>
      </c>
      <c r="J20" s="66" t="s">
        <v>296</v>
      </c>
      <c r="L20" s="95" t="s">
        <v>264</v>
      </c>
      <c r="M20" s="66">
        <v>1</v>
      </c>
      <c r="N20" s="44"/>
      <c r="Q20" s="54"/>
      <c r="R20" s="44" t="s">
        <v>142</v>
      </c>
      <c r="S20" s="44" t="s">
        <v>238</v>
      </c>
      <c r="T20" s="66">
        <f>T19</f>
        <v>1110</v>
      </c>
      <c r="U20" s="66" t="s">
        <v>212</v>
      </c>
      <c r="W20" s="95" t="s">
        <v>284</v>
      </c>
      <c r="X20" s="66">
        <v>3</v>
      </c>
      <c r="Y20" s="44"/>
      <c r="AB20" s="54"/>
      <c r="AC20" s="44" t="s">
        <v>200</v>
      </c>
      <c r="AD20" s="44" t="s">
        <v>238</v>
      </c>
      <c r="AE20" s="58">
        <f>AE19</f>
        <v>140</v>
      </c>
      <c r="AF20" s="66" t="s">
        <v>296</v>
      </c>
      <c r="AH20" s="95" t="s">
        <v>284</v>
      </c>
      <c r="AI20" s="66">
        <v>1</v>
      </c>
      <c r="AJ20" s="44"/>
      <c r="AM20" s="54"/>
      <c r="AN20" s="44" t="s">
        <v>200</v>
      </c>
      <c r="AO20" s="44" t="s">
        <v>238</v>
      </c>
      <c r="AP20" s="66">
        <f>AP19</f>
        <v>4900</v>
      </c>
      <c r="AQ20" s="66" t="s">
        <v>296</v>
      </c>
      <c r="AX20" s="38" t="s">
        <v>108</v>
      </c>
      <c r="AY20" s="38" t="s">
        <v>88</v>
      </c>
      <c r="AZ20" s="38" t="s">
        <v>89</v>
      </c>
      <c r="BA20" s="39">
        <v>8</v>
      </c>
      <c r="BB20" s="95" t="s">
        <v>280</v>
      </c>
      <c r="BC20" s="66">
        <v>2</v>
      </c>
      <c r="BD20" s="44" t="s">
        <v>357</v>
      </c>
      <c r="BG20" s="50"/>
      <c r="BH20" s="38" t="s">
        <v>257</v>
      </c>
      <c r="BI20" s="38" t="s">
        <v>237</v>
      </c>
      <c r="BJ20" s="58">
        <v>555</v>
      </c>
      <c r="BK20" s="66" t="s">
        <v>295</v>
      </c>
      <c r="BM20" s="95" t="s">
        <v>284</v>
      </c>
      <c r="BN20" s="66">
        <v>1</v>
      </c>
      <c r="BO20" s="44" t="s">
        <v>338</v>
      </c>
      <c r="BR20" s="54"/>
      <c r="BS20" s="44" t="s">
        <v>200</v>
      </c>
      <c r="BT20" s="44" t="s">
        <v>238</v>
      </c>
      <c r="BU20" s="66">
        <f>BU19</f>
        <v>1000</v>
      </c>
      <c r="BV20" s="66" t="s">
        <v>296</v>
      </c>
    </row>
    <row r="21" spans="1:75" ht="18" customHeight="1">
      <c r="A21" s="95" t="s">
        <v>282</v>
      </c>
      <c r="B21" s="66">
        <v>1</v>
      </c>
      <c r="C21" s="44"/>
      <c r="D21" s="75"/>
      <c r="F21" s="74" t="s">
        <v>258</v>
      </c>
      <c r="G21" s="80" t="s">
        <v>230</v>
      </c>
      <c r="H21" s="44" t="s">
        <v>259</v>
      </c>
      <c r="I21" s="100">
        <v>0.96</v>
      </c>
      <c r="J21" s="66">
        <v>0</v>
      </c>
      <c r="L21" s="95" t="s">
        <v>101</v>
      </c>
      <c r="M21" s="66">
        <v>2</v>
      </c>
      <c r="N21" s="44"/>
      <c r="Q21" s="74" t="s">
        <v>148</v>
      </c>
      <c r="R21" s="80" t="s">
        <v>127</v>
      </c>
      <c r="S21" s="44" t="s">
        <v>259</v>
      </c>
      <c r="T21" s="100">
        <v>0.96</v>
      </c>
      <c r="U21" s="66">
        <v>1000</v>
      </c>
      <c r="W21" s="95" t="s">
        <v>282</v>
      </c>
      <c r="X21" s="66">
        <v>3</v>
      </c>
      <c r="Y21" s="44"/>
      <c r="AB21" s="74" t="s">
        <v>258</v>
      </c>
      <c r="AC21" s="80" t="s">
        <v>230</v>
      </c>
      <c r="AD21" s="44" t="s">
        <v>259</v>
      </c>
      <c r="AE21" s="100">
        <v>0.96</v>
      </c>
      <c r="AF21" s="66">
        <v>600</v>
      </c>
      <c r="AH21" s="95" t="s">
        <v>282</v>
      </c>
      <c r="AI21" s="66">
        <v>1</v>
      </c>
      <c r="AJ21" s="44"/>
      <c r="AM21" s="74" t="s">
        <v>258</v>
      </c>
      <c r="AN21" s="80" t="s">
        <v>230</v>
      </c>
      <c r="AO21" s="44" t="s">
        <v>259</v>
      </c>
      <c r="AP21" s="100">
        <v>0.48</v>
      </c>
      <c r="AQ21" s="66">
        <v>0</v>
      </c>
      <c r="BB21" s="95" t="s">
        <v>284</v>
      </c>
      <c r="BC21" s="66">
        <v>2</v>
      </c>
      <c r="BD21" s="44"/>
      <c r="BG21" s="54"/>
      <c r="BH21" s="44" t="s">
        <v>200</v>
      </c>
      <c r="BI21" s="44" t="s">
        <v>238</v>
      </c>
      <c r="BJ21" s="58">
        <f>BJ20</f>
        <v>555</v>
      </c>
      <c r="BK21" s="66" t="s">
        <v>296</v>
      </c>
      <c r="BM21" s="95" t="s">
        <v>282</v>
      </c>
      <c r="BN21" s="66">
        <v>0</v>
      </c>
      <c r="BO21" s="44"/>
      <c r="BR21" s="74" t="s">
        <v>258</v>
      </c>
      <c r="BS21" s="80" t="s">
        <v>230</v>
      </c>
      <c r="BT21" s="44" t="s">
        <v>259</v>
      </c>
      <c r="BU21" s="100">
        <v>0.96</v>
      </c>
      <c r="BV21" s="66">
        <v>0</v>
      </c>
      <c r="BW21" s="90"/>
    </row>
    <row r="22" spans="1:75" ht="18" customHeight="1">
      <c r="A22" s="75"/>
      <c r="B22" s="75"/>
      <c r="C22" s="75"/>
      <c r="D22" s="75"/>
      <c r="F22" s="54"/>
      <c r="G22" s="44" t="s">
        <v>260</v>
      </c>
      <c r="H22" s="38" t="s">
        <v>236</v>
      </c>
      <c r="I22" s="58">
        <v>8.3000000000000007</v>
      </c>
      <c r="J22" s="66" t="s">
        <v>296</v>
      </c>
      <c r="Q22" s="54"/>
      <c r="R22" s="44" t="s">
        <v>150</v>
      </c>
      <c r="S22" s="38" t="s">
        <v>236</v>
      </c>
      <c r="T22" s="58">
        <v>5</v>
      </c>
      <c r="U22" s="66" t="s">
        <v>212</v>
      </c>
      <c r="AB22" s="54"/>
      <c r="AC22" s="44" t="s">
        <v>260</v>
      </c>
      <c r="AD22" s="38" t="s">
        <v>236</v>
      </c>
      <c r="AE22" s="58">
        <v>4</v>
      </c>
      <c r="AF22" s="66" t="s">
        <v>296</v>
      </c>
      <c r="AM22" s="54"/>
      <c r="AN22" s="44" t="s">
        <v>260</v>
      </c>
      <c r="AO22" s="38" t="s">
        <v>236</v>
      </c>
      <c r="AP22" s="58">
        <v>4</v>
      </c>
      <c r="AQ22" s="66" t="s">
        <v>296</v>
      </c>
      <c r="BB22" s="95" t="s">
        <v>282</v>
      </c>
      <c r="BC22" s="66">
        <v>2</v>
      </c>
      <c r="BD22" s="44"/>
      <c r="BG22" s="74" t="s">
        <v>258</v>
      </c>
      <c r="BH22" s="80" t="s">
        <v>230</v>
      </c>
      <c r="BI22" s="44" t="s">
        <v>259</v>
      </c>
      <c r="BJ22" s="100">
        <v>0.96</v>
      </c>
      <c r="BK22" s="66">
        <v>400</v>
      </c>
      <c r="BR22" s="54"/>
      <c r="BS22" s="44" t="s">
        <v>260</v>
      </c>
      <c r="BT22" s="38" t="s">
        <v>236</v>
      </c>
      <c r="BU22" s="58">
        <v>8.3000000000000007</v>
      </c>
      <c r="BV22" s="66" t="s">
        <v>296</v>
      </c>
    </row>
    <row r="23" spans="1:75" ht="18" customHeight="1">
      <c r="A23" s="32" t="s">
        <v>119</v>
      </c>
      <c r="B23" s="76"/>
      <c r="C23" s="78"/>
      <c r="D23" s="76"/>
      <c r="F23" s="38" t="s">
        <v>261</v>
      </c>
      <c r="G23" s="38" t="s">
        <v>230</v>
      </c>
      <c r="H23" s="38" t="s">
        <v>239</v>
      </c>
      <c r="I23" s="39">
        <v>5</v>
      </c>
      <c r="J23" s="66">
        <v>1000</v>
      </c>
      <c r="L23" s="32" t="s">
        <v>119</v>
      </c>
      <c r="M23" s="76"/>
      <c r="N23" s="78"/>
      <c r="O23" s="76"/>
      <c r="Q23" s="38" t="s">
        <v>261</v>
      </c>
      <c r="R23" s="38" t="s">
        <v>127</v>
      </c>
      <c r="S23" s="38" t="s">
        <v>239</v>
      </c>
      <c r="T23" s="39">
        <v>5</v>
      </c>
      <c r="U23" s="66">
        <v>1000</v>
      </c>
      <c r="W23" s="32" t="s">
        <v>119</v>
      </c>
      <c r="X23" s="1"/>
      <c r="Y23" s="12"/>
      <c r="Z23" s="1"/>
      <c r="AB23" s="38" t="s">
        <v>261</v>
      </c>
      <c r="AC23" s="38" t="s">
        <v>230</v>
      </c>
      <c r="AD23" s="38" t="s">
        <v>239</v>
      </c>
      <c r="AE23" s="39">
        <v>5</v>
      </c>
      <c r="AF23" s="66">
        <v>600</v>
      </c>
      <c r="AH23" s="32" t="s">
        <v>119</v>
      </c>
      <c r="AI23" s="76"/>
      <c r="AJ23" s="78"/>
      <c r="AK23" s="76"/>
      <c r="AM23" s="38" t="s">
        <v>261</v>
      </c>
      <c r="AN23" s="38" t="s">
        <v>230</v>
      </c>
      <c r="AO23" s="38" t="s">
        <v>239</v>
      </c>
      <c r="AP23" s="39">
        <v>5</v>
      </c>
      <c r="AQ23" s="66">
        <v>0</v>
      </c>
      <c r="BG23" s="54"/>
      <c r="BH23" s="44" t="s">
        <v>260</v>
      </c>
      <c r="BI23" s="38" t="s">
        <v>236</v>
      </c>
      <c r="BJ23" s="58">
        <v>8</v>
      </c>
      <c r="BK23" s="66" t="s">
        <v>296</v>
      </c>
      <c r="BM23" s="32" t="s">
        <v>119</v>
      </c>
      <c r="BN23" s="76"/>
      <c r="BO23" s="78"/>
      <c r="BP23" s="76"/>
      <c r="BR23" s="38" t="s">
        <v>261</v>
      </c>
      <c r="BS23" s="38" t="s">
        <v>317</v>
      </c>
      <c r="BT23" s="38" t="s">
        <v>239</v>
      </c>
      <c r="BU23" s="39">
        <v>4</v>
      </c>
      <c r="BV23" s="66">
        <v>0</v>
      </c>
    </row>
    <row r="24" spans="1:75" ht="18" customHeight="1">
      <c r="A24" s="44" t="s">
        <v>136</v>
      </c>
      <c r="B24" s="91" t="s">
        <v>113</v>
      </c>
      <c r="C24" s="92"/>
      <c r="D24" s="95" t="s">
        <v>137</v>
      </c>
      <c r="F24" s="38" t="s">
        <v>355</v>
      </c>
      <c r="G24" s="38" t="s">
        <v>127</v>
      </c>
      <c r="H24" s="38" t="s">
        <v>239</v>
      </c>
      <c r="I24" s="39">
        <v>3</v>
      </c>
      <c r="J24" s="66">
        <v>1000</v>
      </c>
      <c r="L24" s="44" t="s">
        <v>24</v>
      </c>
      <c r="M24" s="113" t="s">
        <v>113</v>
      </c>
      <c r="N24" s="114"/>
      <c r="O24" s="95" t="s">
        <v>137</v>
      </c>
      <c r="Q24" s="38" t="s">
        <v>68</v>
      </c>
      <c r="R24" s="38" t="s">
        <v>127</v>
      </c>
      <c r="S24" s="38" t="s">
        <v>239</v>
      </c>
      <c r="T24" s="39">
        <v>2.5</v>
      </c>
      <c r="U24" s="66">
        <v>1000</v>
      </c>
      <c r="W24" s="44" t="s">
        <v>136</v>
      </c>
      <c r="X24" s="119" t="s">
        <v>113</v>
      </c>
      <c r="Y24" s="120"/>
      <c r="Z24" s="37" t="s">
        <v>137</v>
      </c>
      <c r="AB24" s="38" t="s">
        <v>262</v>
      </c>
      <c r="AC24" s="38" t="s">
        <v>230</v>
      </c>
      <c r="AD24" s="38" t="s">
        <v>239</v>
      </c>
      <c r="AE24" s="39">
        <v>2.5</v>
      </c>
      <c r="AF24" s="66">
        <v>0</v>
      </c>
      <c r="AH24" s="44" t="s">
        <v>136</v>
      </c>
      <c r="AI24" s="91" t="s">
        <v>113</v>
      </c>
      <c r="AJ24" s="92"/>
      <c r="AK24" s="95" t="s">
        <v>137</v>
      </c>
      <c r="AM24" s="38" t="s">
        <v>262</v>
      </c>
      <c r="AN24" s="38" t="s">
        <v>230</v>
      </c>
      <c r="AO24" s="38" t="s">
        <v>239</v>
      </c>
      <c r="AP24" s="39">
        <v>10</v>
      </c>
      <c r="AQ24" s="66">
        <v>500</v>
      </c>
      <c r="BB24" s="32" t="s">
        <v>119</v>
      </c>
      <c r="BC24" s="76"/>
      <c r="BD24" s="78"/>
      <c r="BE24" s="76"/>
      <c r="BG24" s="38" t="s">
        <v>261</v>
      </c>
      <c r="BH24" s="38" t="s">
        <v>230</v>
      </c>
      <c r="BI24" s="38" t="s">
        <v>239</v>
      </c>
      <c r="BJ24" s="39">
        <v>5</v>
      </c>
      <c r="BK24" s="66">
        <v>400</v>
      </c>
      <c r="BM24" s="44" t="s">
        <v>136</v>
      </c>
      <c r="BN24" s="91" t="s">
        <v>113</v>
      </c>
      <c r="BO24" s="92"/>
      <c r="BP24" s="95" t="s">
        <v>137</v>
      </c>
      <c r="BR24" s="38" t="s">
        <v>262</v>
      </c>
      <c r="BS24" s="38" t="s">
        <v>230</v>
      </c>
      <c r="BT24" s="38" t="s">
        <v>239</v>
      </c>
      <c r="BU24" s="39">
        <v>3</v>
      </c>
      <c r="BV24" s="66">
        <v>0</v>
      </c>
    </row>
    <row r="25" spans="1:75" ht="18" customHeight="1">
      <c r="A25" s="44" t="s">
        <v>138</v>
      </c>
      <c r="B25" s="117" t="s">
        <v>114</v>
      </c>
      <c r="C25" s="118"/>
      <c r="D25" s="67">
        <v>0.106</v>
      </c>
      <c r="F25" s="38" t="s">
        <v>262</v>
      </c>
      <c r="G25" s="38" t="s">
        <v>230</v>
      </c>
      <c r="H25" s="38" t="s">
        <v>239</v>
      </c>
      <c r="I25" s="39">
        <v>2.5</v>
      </c>
      <c r="J25" s="66">
        <v>1000</v>
      </c>
      <c r="L25" s="44" t="s">
        <v>122</v>
      </c>
      <c r="M25" s="117" t="s">
        <v>114</v>
      </c>
      <c r="N25" s="118"/>
      <c r="O25" s="67">
        <v>0.106</v>
      </c>
      <c r="Q25" s="49" t="s">
        <v>98</v>
      </c>
      <c r="R25" s="38" t="s">
        <v>127</v>
      </c>
      <c r="S25" s="38" t="s">
        <v>239</v>
      </c>
      <c r="T25" s="39">
        <v>3.4</v>
      </c>
      <c r="U25" s="66">
        <v>1000</v>
      </c>
      <c r="W25" s="44" t="s">
        <v>138</v>
      </c>
      <c r="X25" s="121" t="s">
        <v>114</v>
      </c>
      <c r="Y25" s="122"/>
      <c r="Z25" s="67">
        <v>0.106</v>
      </c>
      <c r="AB25" s="49" t="s">
        <v>263</v>
      </c>
      <c r="AC25" s="38" t="s">
        <v>230</v>
      </c>
      <c r="AD25" s="38" t="s">
        <v>239</v>
      </c>
      <c r="AE25" s="39">
        <v>3.4</v>
      </c>
      <c r="AF25" s="66">
        <v>600</v>
      </c>
      <c r="AH25" s="44" t="s">
        <v>138</v>
      </c>
      <c r="AI25" s="93" t="s">
        <v>114</v>
      </c>
      <c r="AJ25" s="94"/>
      <c r="AK25" s="67">
        <v>0.106</v>
      </c>
      <c r="AM25" s="49" t="s">
        <v>263</v>
      </c>
      <c r="AN25" s="38" t="s">
        <v>230</v>
      </c>
      <c r="AO25" s="38" t="s">
        <v>239</v>
      </c>
      <c r="AP25" s="39">
        <v>3.4</v>
      </c>
      <c r="AQ25" s="66">
        <v>0</v>
      </c>
      <c r="BB25" s="44" t="s">
        <v>136</v>
      </c>
      <c r="BC25" s="61" t="s">
        <v>113</v>
      </c>
      <c r="BD25" s="62"/>
      <c r="BE25" s="55" t="s">
        <v>137</v>
      </c>
      <c r="BG25" s="38" t="s">
        <v>262</v>
      </c>
      <c r="BH25" s="38" t="s">
        <v>230</v>
      </c>
      <c r="BI25" s="38" t="s">
        <v>239</v>
      </c>
      <c r="BJ25" s="39">
        <v>2.5</v>
      </c>
      <c r="BK25" s="66">
        <v>0</v>
      </c>
      <c r="BM25" s="44" t="s">
        <v>122</v>
      </c>
      <c r="BN25" s="117" t="s">
        <v>114</v>
      </c>
      <c r="BO25" s="118"/>
      <c r="BP25" s="67">
        <v>0.106</v>
      </c>
      <c r="BR25" s="49" t="s">
        <v>98</v>
      </c>
      <c r="BS25" s="38" t="s">
        <v>127</v>
      </c>
      <c r="BT25" s="38" t="s">
        <v>239</v>
      </c>
      <c r="BU25" s="39">
        <v>4</v>
      </c>
      <c r="BV25" s="66">
        <v>0</v>
      </c>
    </row>
    <row r="26" spans="1:75" ht="18" customHeight="1">
      <c r="A26" s="44" t="s">
        <v>112</v>
      </c>
      <c r="B26" s="117" t="s">
        <v>115</v>
      </c>
      <c r="C26" s="118"/>
      <c r="D26" s="68">
        <v>0.06</v>
      </c>
      <c r="F26" s="49" t="s">
        <v>263</v>
      </c>
      <c r="G26" s="38" t="s">
        <v>230</v>
      </c>
      <c r="H26" s="38" t="s">
        <v>239</v>
      </c>
      <c r="I26" s="39">
        <v>3.4</v>
      </c>
      <c r="J26" s="66">
        <v>0</v>
      </c>
      <c r="L26" s="44" t="s">
        <v>112</v>
      </c>
      <c r="M26" s="117" t="s">
        <v>115</v>
      </c>
      <c r="N26" s="118"/>
      <c r="O26" s="68">
        <v>0.06</v>
      </c>
      <c r="Q26" s="51"/>
      <c r="R26" s="38" t="s">
        <v>264</v>
      </c>
      <c r="S26" s="38" t="s">
        <v>286</v>
      </c>
      <c r="T26" s="58">
        <v>4</v>
      </c>
      <c r="U26" s="66" t="s">
        <v>212</v>
      </c>
      <c r="W26" s="44" t="s">
        <v>112</v>
      </c>
      <c r="X26" s="121" t="s">
        <v>115</v>
      </c>
      <c r="Y26" s="122"/>
      <c r="Z26" s="68">
        <v>0.06</v>
      </c>
      <c r="AB26" s="51"/>
      <c r="AC26" s="38" t="s">
        <v>264</v>
      </c>
      <c r="AD26" s="38" t="s">
        <v>286</v>
      </c>
      <c r="AE26" s="58">
        <v>12.5</v>
      </c>
      <c r="AF26" s="66" t="s">
        <v>296</v>
      </c>
      <c r="AH26" s="44" t="s">
        <v>112</v>
      </c>
      <c r="AI26" s="117" t="s">
        <v>115</v>
      </c>
      <c r="AJ26" s="118"/>
      <c r="AK26" s="68">
        <v>0.06</v>
      </c>
      <c r="AM26" s="51"/>
      <c r="AN26" s="38" t="s">
        <v>264</v>
      </c>
      <c r="AO26" s="38" t="s">
        <v>286</v>
      </c>
      <c r="AP26" s="58">
        <v>4</v>
      </c>
      <c r="AQ26" s="66" t="s">
        <v>296</v>
      </c>
      <c r="BB26" s="44" t="s">
        <v>138</v>
      </c>
      <c r="BC26" s="70" t="s">
        <v>114</v>
      </c>
      <c r="BD26" s="71"/>
      <c r="BE26" s="67">
        <v>0.106</v>
      </c>
      <c r="BG26" s="49" t="s">
        <v>155</v>
      </c>
      <c r="BH26" s="38" t="s">
        <v>230</v>
      </c>
      <c r="BI26" s="38" t="s">
        <v>239</v>
      </c>
      <c r="BJ26" s="39">
        <v>5.5</v>
      </c>
      <c r="BK26" s="66">
        <v>400</v>
      </c>
      <c r="BM26" s="44" t="s">
        <v>112</v>
      </c>
      <c r="BN26" s="117" t="s">
        <v>115</v>
      </c>
      <c r="BO26" s="118"/>
      <c r="BP26" s="68">
        <v>0.06</v>
      </c>
      <c r="BR26" s="51"/>
      <c r="BS26" s="38" t="s">
        <v>264</v>
      </c>
      <c r="BT26" s="38" t="s">
        <v>286</v>
      </c>
      <c r="BU26" s="58">
        <v>8</v>
      </c>
      <c r="BV26" s="66">
        <v>0</v>
      </c>
    </row>
    <row r="27" spans="1:75" ht="18" customHeight="1">
      <c r="A27" s="44" t="s">
        <v>139</v>
      </c>
      <c r="B27" s="117" t="s">
        <v>140</v>
      </c>
      <c r="C27" s="118"/>
      <c r="D27" s="81">
        <v>0.13</v>
      </c>
      <c r="F27" s="51"/>
      <c r="G27" s="38" t="s">
        <v>264</v>
      </c>
      <c r="H27" s="38" t="s">
        <v>286</v>
      </c>
      <c r="I27" s="58">
        <v>4</v>
      </c>
      <c r="J27" s="66" t="s">
        <v>296</v>
      </c>
      <c r="L27" s="44" t="s">
        <v>139</v>
      </c>
      <c r="M27" s="117" t="s">
        <v>140</v>
      </c>
      <c r="N27" s="118"/>
      <c r="O27" s="81">
        <v>0.13</v>
      </c>
      <c r="Q27" s="49" t="s">
        <v>101</v>
      </c>
      <c r="R27" s="38" t="s">
        <v>127</v>
      </c>
      <c r="S27" s="38" t="s">
        <v>102</v>
      </c>
      <c r="T27" s="39">
        <v>3.33</v>
      </c>
      <c r="U27" s="66">
        <v>1000</v>
      </c>
      <c r="W27" s="44" t="s">
        <v>139</v>
      </c>
      <c r="X27" s="121" t="s">
        <v>140</v>
      </c>
      <c r="Y27" s="122"/>
      <c r="Z27" s="81">
        <v>0.13</v>
      </c>
      <c r="AB27" s="49" t="s">
        <v>265</v>
      </c>
      <c r="AC27" s="38" t="s">
        <v>230</v>
      </c>
      <c r="AD27" s="38" t="s">
        <v>222</v>
      </c>
      <c r="AE27" s="39">
        <v>3.33</v>
      </c>
      <c r="AF27" s="66">
        <v>600</v>
      </c>
      <c r="AH27" s="44" t="s">
        <v>139</v>
      </c>
      <c r="AI27" s="117" t="s">
        <v>140</v>
      </c>
      <c r="AJ27" s="118"/>
      <c r="AK27" s="81">
        <v>0.13</v>
      </c>
      <c r="AM27" s="49" t="s">
        <v>265</v>
      </c>
      <c r="AN27" s="38" t="s">
        <v>230</v>
      </c>
      <c r="AO27" s="38" t="s">
        <v>222</v>
      </c>
      <c r="AP27" s="39">
        <v>0.52</v>
      </c>
      <c r="AQ27" s="66">
        <v>500</v>
      </c>
      <c r="BB27" s="44" t="s">
        <v>112</v>
      </c>
      <c r="BC27" s="70" t="s">
        <v>115</v>
      </c>
      <c r="BD27" s="71"/>
      <c r="BE27" s="68">
        <v>0.06</v>
      </c>
      <c r="BG27" s="49" t="s">
        <v>265</v>
      </c>
      <c r="BH27" s="38" t="s">
        <v>230</v>
      </c>
      <c r="BI27" s="38" t="s">
        <v>222</v>
      </c>
      <c r="BJ27" s="39">
        <v>3.33</v>
      </c>
      <c r="BK27" s="66">
        <v>400</v>
      </c>
      <c r="BM27" s="44" t="s">
        <v>139</v>
      </c>
      <c r="BN27" s="117" t="s">
        <v>140</v>
      </c>
      <c r="BO27" s="118"/>
      <c r="BP27" s="81">
        <v>0.16</v>
      </c>
      <c r="BR27" s="49" t="s">
        <v>265</v>
      </c>
      <c r="BS27" s="38" t="s">
        <v>230</v>
      </c>
      <c r="BT27" s="38" t="s">
        <v>222</v>
      </c>
      <c r="BU27" s="39">
        <v>3.3</v>
      </c>
      <c r="BV27" s="66">
        <v>0</v>
      </c>
    </row>
    <row r="28" spans="1:75" ht="18" customHeight="1">
      <c r="F28" s="49" t="s">
        <v>265</v>
      </c>
      <c r="G28" s="38" t="s">
        <v>230</v>
      </c>
      <c r="H28" s="38" t="s">
        <v>222</v>
      </c>
      <c r="I28" s="39">
        <v>3.33</v>
      </c>
      <c r="J28" s="66">
        <v>1000</v>
      </c>
      <c r="Q28" s="51"/>
      <c r="R28" s="38" t="s">
        <v>103</v>
      </c>
      <c r="S28" s="38" t="s">
        <v>287</v>
      </c>
      <c r="T28" s="58">
        <v>80</v>
      </c>
      <c r="U28" s="66" t="s">
        <v>212</v>
      </c>
      <c r="AB28" s="51"/>
      <c r="AC28" s="38" t="s">
        <v>224</v>
      </c>
      <c r="AD28" s="38" t="s">
        <v>287</v>
      </c>
      <c r="AE28" s="58">
        <v>175</v>
      </c>
      <c r="AF28" s="66" t="s">
        <v>296</v>
      </c>
      <c r="AM28" s="51"/>
      <c r="AN28" s="38" t="s">
        <v>302</v>
      </c>
      <c r="AO28" s="38" t="s">
        <v>287</v>
      </c>
      <c r="AP28" s="66">
        <v>2642</v>
      </c>
      <c r="AQ28" s="66" t="s">
        <v>296</v>
      </c>
      <c r="BB28" s="44" t="s">
        <v>139</v>
      </c>
      <c r="BC28" s="63" t="s">
        <v>140</v>
      </c>
      <c r="BD28" s="64"/>
      <c r="BE28" s="81">
        <v>0.13</v>
      </c>
      <c r="BG28" s="51"/>
      <c r="BH28" s="38" t="s">
        <v>224</v>
      </c>
      <c r="BI28" s="38" t="s">
        <v>287</v>
      </c>
      <c r="BJ28" s="58">
        <v>248</v>
      </c>
      <c r="BK28" s="66" t="s">
        <v>296</v>
      </c>
      <c r="BR28" s="51"/>
      <c r="BS28" s="38" t="s">
        <v>224</v>
      </c>
      <c r="BT28" s="38" t="s">
        <v>287</v>
      </c>
      <c r="BU28" s="58">
        <v>90</v>
      </c>
      <c r="BV28" s="66" t="s">
        <v>296</v>
      </c>
    </row>
    <row r="29" spans="1:75" ht="18" customHeight="1">
      <c r="F29" s="51"/>
      <c r="G29" s="38" t="s">
        <v>224</v>
      </c>
      <c r="H29" s="38" t="s">
        <v>287</v>
      </c>
      <c r="I29" s="58">
        <v>82.5</v>
      </c>
      <c r="J29" s="66" t="s">
        <v>296</v>
      </c>
      <c r="Q29" s="50" t="s">
        <v>18</v>
      </c>
      <c r="R29" s="38" t="s">
        <v>106</v>
      </c>
      <c r="S29" s="38" t="s">
        <v>234</v>
      </c>
      <c r="T29" s="39">
        <v>0.5</v>
      </c>
      <c r="U29" s="66">
        <v>1000</v>
      </c>
      <c r="AB29" s="50" t="s">
        <v>266</v>
      </c>
      <c r="AC29" s="38" t="s">
        <v>267</v>
      </c>
      <c r="AD29" s="38" t="s">
        <v>234</v>
      </c>
      <c r="AE29" s="39">
        <v>0.5</v>
      </c>
      <c r="AF29" s="66">
        <v>0</v>
      </c>
      <c r="AM29" s="50" t="s">
        <v>266</v>
      </c>
      <c r="AN29" s="38" t="s">
        <v>267</v>
      </c>
      <c r="AO29" s="38" t="s">
        <v>234</v>
      </c>
      <c r="AP29" s="39">
        <v>0.5</v>
      </c>
      <c r="AQ29" s="66">
        <v>0</v>
      </c>
      <c r="BG29" s="50" t="s">
        <v>266</v>
      </c>
      <c r="BH29" s="38" t="s">
        <v>267</v>
      </c>
      <c r="BI29" s="38" t="s">
        <v>234</v>
      </c>
      <c r="BJ29" s="39">
        <v>0.5</v>
      </c>
      <c r="BK29" s="66">
        <v>400</v>
      </c>
      <c r="BR29" s="50" t="s">
        <v>266</v>
      </c>
      <c r="BS29" s="38" t="s">
        <v>267</v>
      </c>
      <c r="BT29" s="38" t="s">
        <v>234</v>
      </c>
      <c r="BU29" s="39">
        <v>2</v>
      </c>
      <c r="BV29" s="66">
        <v>0</v>
      </c>
    </row>
    <row r="30" spans="1:75" ht="18" customHeight="1">
      <c r="F30" s="50" t="s">
        <v>266</v>
      </c>
      <c r="G30" s="38" t="s">
        <v>267</v>
      </c>
      <c r="H30" s="38" t="s">
        <v>234</v>
      </c>
      <c r="I30" s="39">
        <v>0.5</v>
      </c>
      <c r="J30" s="66">
        <v>0</v>
      </c>
      <c r="Q30" s="49" t="s">
        <v>177</v>
      </c>
      <c r="R30" s="38" t="s">
        <v>127</v>
      </c>
      <c r="S30" s="38" t="s">
        <v>232</v>
      </c>
      <c r="T30" s="39">
        <v>0.9</v>
      </c>
      <c r="U30" s="66">
        <v>0</v>
      </c>
      <c r="AB30" s="49" t="s">
        <v>268</v>
      </c>
      <c r="AC30" s="38" t="s">
        <v>230</v>
      </c>
      <c r="AD30" s="38" t="s">
        <v>232</v>
      </c>
      <c r="AE30" s="39">
        <v>0.9</v>
      </c>
      <c r="AF30" s="66">
        <v>0</v>
      </c>
      <c r="AM30" s="49" t="s">
        <v>268</v>
      </c>
      <c r="AN30" s="38" t="s">
        <v>230</v>
      </c>
      <c r="AO30" s="38" t="s">
        <v>232</v>
      </c>
      <c r="AP30" s="39">
        <v>0.9</v>
      </c>
      <c r="AQ30" s="66">
        <v>0</v>
      </c>
      <c r="BG30" s="49" t="s">
        <v>268</v>
      </c>
      <c r="BH30" s="38" t="s">
        <v>230</v>
      </c>
      <c r="BI30" s="38" t="s">
        <v>232</v>
      </c>
      <c r="BJ30" s="39">
        <v>4</v>
      </c>
      <c r="BK30" s="66">
        <v>0</v>
      </c>
      <c r="BR30" s="49" t="s">
        <v>268</v>
      </c>
      <c r="BS30" s="38" t="s">
        <v>230</v>
      </c>
      <c r="BT30" s="38" t="s">
        <v>232</v>
      </c>
      <c r="BU30" s="39">
        <v>4</v>
      </c>
      <c r="BV30" s="66">
        <v>0</v>
      </c>
    </row>
    <row r="31" spans="1:75" ht="18" customHeight="1">
      <c r="F31" s="49" t="s">
        <v>268</v>
      </c>
      <c r="G31" s="38" t="s">
        <v>230</v>
      </c>
      <c r="H31" s="38" t="s">
        <v>232</v>
      </c>
      <c r="I31" s="39">
        <v>0.9</v>
      </c>
      <c r="J31" s="66">
        <v>0</v>
      </c>
      <c r="Q31" s="51"/>
      <c r="R31" s="38" t="s">
        <v>264</v>
      </c>
      <c r="S31" s="38" t="s">
        <v>240</v>
      </c>
      <c r="T31" s="58">
        <v>0</v>
      </c>
      <c r="U31" s="66" t="s">
        <v>212</v>
      </c>
      <c r="AB31" s="51"/>
      <c r="AC31" s="38" t="s">
        <v>264</v>
      </c>
      <c r="AD31" s="38" t="s">
        <v>240</v>
      </c>
      <c r="AE31" s="58">
        <v>0</v>
      </c>
      <c r="AF31" s="66" t="s">
        <v>296</v>
      </c>
      <c r="AM31" s="51"/>
      <c r="AN31" s="38" t="s">
        <v>264</v>
      </c>
      <c r="AO31" s="38" t="s">
        <v>240</v>
      </c>
      <c r="AP31" s="58">
        <v>0</v>
      </c>
      <c r="AQ31" s="66" t="s">
        <v>296</v>
      </c>
      <c r="BG31" s="51"/>
      <c r="BH31" s="38" t="s">
        <v>264</v>
      </c>
      <c r="BI31" s="38" t="s">
        <v>240</v>
      </c>
      <c r="BJ31" s="58">
        <v>4.18</v>
      </c>
      <c r="BK31" s="66" t="s">
        <v>296</v>
      </c>
      <c r="BR31" s="51"/>
      <c r="BS31" s="38" t="s">
        <v>264</v>
      </c>
      <c r="BT31" s="38" t="s">
        <v>240</v>
      </c>
      <c r="BU31" s="58">
        <v>4.18</v>
      </c>
      <c r="BV31" s="66" t="s">
        <v>296</v>
      </c>
    </row>
    <row r="32" spans="1:75" ht="18" customHeight="1">
      <c r="F32" s="51"/>
      <c r="G32" s="38" t="s">
        <v>264</v>
      </c>
      <c r="H32" s="38" t="s">
        <v>240</v>
      </c>
      <c r="I32" s="58">
        <v>0</v>
      </c>
      <c r="J32" s="66" t="s">
        <v>296</v>
      </c>
      <c r="Q32" s="80" t="s">
        <v>179</v>
      </c>
      <c r="R32" s="80" t="s">
        <v>127</v>
      </c>
      <c r="S32" s="80" t="s">
        <v>365</v>
      </c>
      <c r="T32" s="46">
        <v>3.6</v>
      </c>
      <c r="U32" s="66">
        <v>0</v>
      </c>
      <c r="AB32" s="80" t="s">
        <v>207</v>
      </c>
      <c r="AC32" s="80" t="s">
        <v>230</v>
      </c>
      <c r="AD32" s="80" t="s">
        <v>365</v>
      </c>
      <c r="AE32" s="46">
        <v>3.6</v>
      </c>
      <c r="AF32" s="66">
        <v>0</v>
      </c>
      <c r="AM32" s="49" t="s">
        <v>269</v>
      </c>
      <c r="AN32" s="38" t="s">
        <v>230</v>
      </c>
      <c r="AO32" s="38" t="s">
        <v>232</v>
      </c>
      <c r="AP32" s="39">
        <v>0.4</v>
      </c>
      <c r="AQ32" s="66">
        <v>500</v>
      </c>
      <c r="BG32" s="80" t="s">
        <v>207</v>
      </c>
      <c r="BH32" s="80" t="s">
        <v>230</v>
      </c>
      <c r="BI32" s="80" t="s">
        <v>365</v>
      </c>
      <c r="BJ32" s="46">
        <v>3.6</v>
      </c>
      <c r="BK32" s="66">
        <v>0</v>
      </c>
      <c r="BR32" s="80" t="s">
        <v>207</v>
      </c>
      <c r="BS32" s="80" t="s">
        <v>230</v>
      </c>
      <c r="BT32" s="80" t="s">
        <v>272</v>
      </c>
      <c r="BU32" s="46">
        <v>1.65</v>
      </c>
      <c r="BV32" s="66">
        <v>0</v>
      </c>
    </row>
    <row r="33" spans="6:74" ht="18" customHeight="1">
      <c r="F33" s="80" t="s">
        <v>207</v>
      </c>
      <c r="G33" s="80" t="s">
        <v>230</v>
      </c>
      <c r="H33" s="80" t="s">
        <v>365</v>
      </c>
      <c r="I33" s="46">
        <v>3.6</v>
      </c>
      <c r="J33" s="66">
        <v>0</v>
      </c>
      <c r="Q33" s="74" t="s">
        <v>208</v>
      </c>
      <c r="R33" s="80" t="s">
        <v>26</v>
      </c>
      <c r="S33" s="80" t="s">
        <v>365</v>
      </c>
      <c r="T33" s="39">
        <v>3.7</v>
      </c>
      <c r="U33" s="66">
        <v>0</v>
      </c>
      <c r="AB33" s="74" t="s">
        <v>208</v>
      </c>
      <c r="AC33" s="80" t="s">
        <v>209</v>
      </c>
      <c r="AD33" s="80" t="s">
        <v>365</v>
      </c>
      <c r="AE33" s="39">
        <v>3.7</v>
      </c>
      <c r="AF33" s="66">
        <v>0</v>
      </c>
      <c r="AM33" s="54"/>
      <c r="AN33" s="80" t="s">
        <v>270</v>
      </c>
      <c r="AO33" s="38" t="s">
        <v>240</v>
      </c>
      <c r="AP33" s="58">
        <v>1.8</v>
      </c>
      <c r="AQ33" s="66" t="s">
        <v>228</v>
      </c>
      <c r="BG33" s="74" t="s">
        <v>208</v>
      </c>
      <c r="BH33" s="80" t="s">
        <v>209</v>
      </c>
      <c r="BI33" s="80" t="s">
        <v>365</v>
      </c>
      <c r="BJ33" s="39">
        <v>3.7</v>
      </c>
      <c r="BK33" s="66">
        <v>0</v>
      </c>
      <c r="BR33" s="74" t="s">
        <v>208</v>
      </c>
      <c r="BS33" s="80" t="s">
        <v>209</v>
      </c>
      <c r="BT33" s="80" t="s">
        <v>273</v>
      </c>
      <c r="BU33" s="39">
        <v>1</v>
      </c>
      <c r="BV33" s="66">
        <v>0</v>
      </c>
    </row>
    <row r="34" spans="6:74" ht="18" customHeight="1">
      <c r="F34" s="74" t="s">
        <v>208</v>
      </c>
      <c r="G34" s="80" t="s">
        <v>209</v>
      </c>
      <c r="H34" s="80" t="s">
        <v>365</v>
      </c>
      <c r="I34" s="39">
        <v>3.7</v>
      </c>
      <c r="J34" s="66">
        <v>0</v>
      </c>
      <c r="Q34" s="49" t="s">
        <v>19</v>
      </c>
      <c r="R34" s="38" t="s">
        <v>127</v>
      </c>
      <c r="S34" s="38" t="s">
        <v>232</v>
      </c>
      <c r="T34" s="39">
        <v>0.4</v>
      </c>
      <c r="U34" s="66">
        <v>1000</v>
      </c>
      <c r="AB34" s="49" t="s">
        <v>269</v>
      </c>
      <c r="AC34" s="38" t="s">
        <v>230</v>
      </c>
      <c r="AD34" s="38" t="s">
        <v>232</v>
      </c>
      <c r="AE34" s="39">
        <v>0.4</v>
      </c>
      <c r="AF34" s="66">
        <v>600</v>
      </c>
      <c r="AM34" s="51" t="s">
        <v>271</v>
      </c>
      <c r="AN34" s="38" t="s">
        <v>230</v>
      </c>
      <c r="AO34" s="38" t="s">
        <v>274</v>
      </c>
      <c r="AP34" s="39">
        <v>10</v>
      </c>
      <c r="AQ34" s="40">
        <v>1</v>
      </c>
      <c r="BG34" s="49" t="s">
        <v>269</v>
      </c>
      <c r="BH34" s="38" t="s">
        <v>230</v>
      </c>
      <c r="BI34" s="38" t="s">
        <v>232</v>
      </c>
      <c r="BJ34" s="39">
        <v>0.4</v>
      </c>
      <c r="BK34" s="66">
        <v>400</v>
      </c>
      <c r="BR34" s="49" t="s">
        <v>269</v>
      </c>
      <c r="BS34" s="38" t="s">
        <v>230</v>
      </c>
      <c r="BT34" s="38" t="s">
        <v>232</v>
      </c>
      <c r="BU34" s="39">
        <v>0.4</v>
      </c>
      <c r="BV34" s="66">
        <v>0</v>
      </c>
    </row>
    <row r="35" spans="6:74" ht="18" customHeight="1">
      <c r="F35" s="49" t="s">
        <v>269</v>
      </c>
      <c r="G35" s="38" t="s">
        <v>230</v>
      </c>
      <c r="H35" s="38" t="s">
        <v>232</v>
      </c>
      <c r="I35" s="39">
        <v>0.4</v>
      </c>
      <c r="J35" s="66">
        <v>1000</v>
      </c>
      <c r="Q35" s="54"/>
      <c r="R35" s="80" t="s">
        <v>270</v>
      </c>
      <c r="S35" s="38" t="s">
        <v>240</v>
      </c>
      <c r="T35" s="58">
        <v>1.8</v>
      </c>
      <c r="U35" s="66" t="s">
        <v>212</v>
      </c>
      <c r="AB35" s="54"/>
      <c r="AC35" s="80" t="s">
        <v>270</v>
      </c>
      <c r="AD35" s="38" t="s">
        <v>240</v>
      </c>
      <c r="AE35" s="58">
        <v>1.8</v>
      </c>
      <c r="AF35" s="66" t="s">
        <v>228</v>
      </c>
      <c r="BG35" s="54"/>
      <c r="BH35" s="80" t="s">
        <v>270</v>
      </c>
      <c r="BI35" s="38" t="s">
        <v>240</v>
      </c>
      <c r="BJ35" s="58">
        <v>1.8</v>
      </c>
      <c r="BK35" s="66" t="s">
        <v>228</v>
      </c>
      <c r="BR35" s="54"/>
      <c r="BS35" s="80" t="s">
        <v>270</v>
      </c>
      <c r="BT35" s="38" t="s">
        <v>240</v>
      </c>
      <c r="BU35" s="58">
        <v>1.8</v>
      </c>
      <c r="BV35" s="66" t="s">
        <v>228</v>
      </c>
    </row>
    <row r="36" spans="6:74" ht="18" customHeight="1">
      <c r="F36" s="54"/>
      <c r="G36" s="80" t="s">
        <v>270</v>
      </c>
      <c r="H36" s="38" t="s">
        <v>240</v>
      </c>
      <c r="I36" s="58">
        <v>1.8</v>
      </c>
      <c r="J36" s="66" t="s">
        <v>228</v>
      </c>
      <c r="Q36" s="51" t="s">
        <v>108</v>
      </c>
      <c r="R36" s="38" t="s">
        <v>127</v>
      </c>
      <c r="S36" s="38" t="s">
        <v>274</v>
      </c>
      <c r="T36" s="39">
        <v>10</v>
      </c>
      <c r="U36" s="40">
        <v>1</v>
      </c>
      <c r="AB36" s="51" t="s">
        <v>271</v>
      </c>
      <c r="AC36" s="38" t="s">
        <v>230</v>
      </c>
      <c r="AD36" s="38" t="s">
        <v>274</v>
      </c>
      <c r="AE36" s="39">
        <v>10</v>
      </c>
      <c r="AF36" s="40">
        <v>1</v>
      </c>
      <c r="BG36" s="51" t="s">
        <v>271</v>
      </c>
      <c r="BH36" s="38" t="s">
        <v>230</v>
      </c>
      <c r="BI36" s="38" t="s">
        <v>274</v>
      </c>
      <c r="BJ36" s="39">
        <v>10</v>
      </c>
      <c r="BK36" s="40">
        <v>1</v>
      </c>
      <c r="BR36" s="51" t="s">
        <v>271</v>
      </c>
      <c r="BS36" s="38" t="s">
        <v>230</v>
      </c>
      <c r="BT36" s="38" t="s">
        <v>274</v>
      </c>
      <c r="BU36" s="39">
        <v>2</v>
      </c>
      <c r="BV36" s="40">
        <v>0</v>
      </c>
    </row>
    <row r="37" spans="6:74" ht="18" customHeight="1">
      <c r="F37" s="51" t="s">
        <v>271</v>
      </c>
      <c r="G37" s="38" t="s">
        <v>230</v>
      </c>
      <c r="H37" s="38" t="s">
        <v>274</v>
      </c>
      <c r="I37" s="39">
        <v>10</v>
      </c>
      <c r="J37" s="40">
        <v>1</v>
      </c>
    </row>
    <row r="38" spans="6:74" ht="18" customHeight="1"/>
    <row r="39" spans="6:74" ht="18" customHeight="1"/>
    <row r="40" spans="6:74" ht="18" customHeight="1"/>
  </sheetData>
  <mergeCells count="22">
    <mergeCell ref="I2:J2"/>
    <mergeCell ref="AD2:AE2"/>
    <mergeCell ref="T2:U2"/>
    <mergeCell ref="M25:N25"/>
    <mergeCell ref="M26:N26"/>
    <mergeCell ref="BN26:BO26"/>
    <mergeCell ref="BN27:BO27"/>
    <mergeCell ref="B25:C25"/>
    <mergeCell ref="X24:Y24"/>
    <mergeCell ref="X25:Y25"/>
    <mergeCell ref="X26:Y26"/>
    <mergeCell ref="X27:Y27"/>
    <mergeCell ref="AI26:AJ26"/>
    <mergeCell ref="AI27:AJ27"/>
    <mergeCell ref="B26:C26"/>
    <mergeCell ref="B27:C27"/>
    <mergeCell ref="M27:N27"/>
    <mergeCell ref="AT18:AU18"/>
    <mergeCell ref="AT15:AU15"/>
    <mergeCell ref="AT16:AU16"/>
    <mergeCell ref="AT17:AU17"/>
    <mergeCell ref="BN25:BO25"/>
  </mergeCells>
  <phoneticPr fontId="2" type="noConversion"/>
  <pageMargins left="0.53" right="0.3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6" sqref="C16"/>
    </sheetView>
  </sheetViews>
  <sheetFormatPr defaultRowHeight="20.100000000000001" customHeight="1"/>
  <cols>
    <col min="1" max="1" width="8.5" style="1" bestFit="1" customWidth="1"/>
    <col min="2" max="2" width="13.125" style="1" customWidth="1"/>
    <col min="3" max="3" width="7.375" style="1" customWidth="1"/>
    <col min="4" max="4" width="7.125" style="1" customWidth="1"/>
    <col min="5" max="5" width="8.5" style="1" bestFit="1" customWidth="1"/>
    <col min="6" max="6" width="5" style="1" bestFit="1" customWidth="1"/>
    <col min="7" max="8" width="8.5" style="1" bestFit="1" customWidth="1"/>
    <col min="9" max="9" width="9.5" style="1" bestFit="1" customWidth="1"/>
    <col min="10" max="10" width="11.625" style="1" bestFit="1" customWidth="1"/>
    <col min="11" max="11" width="0" style="1" hidden="1" customWidth="1"/>
    <col min="12" max="12" width="10.25" style="1" hidden="1" customWidth="1"/>
    <col min="13" max="13" width="0" style="1" hidden="1" customWidth="1"/>
    <col min="14" max="14" width="1.625" style="1" customWidth="1"/>
    <col min="15" max="15" width="8.5" style="1" bestFit="1" customWidth="1"/>
    <col min="16" max="16" width="16.125" style="1" bestFit="1" customWidth="1"/>
    <col min="17" max="18" width="9" style="1"/>
    <col min="19" max="20" width="9.375" style="1" bestFit="1" customWidth="1"/>
    <col min="21" max="21" width="11.25" style="1" bestFit="1" customWidth="1"/>
    <col min="22" max="22" width="12.125" style="1" customWidth="1"/>
    <col min="23" max="16384" width="9" style="1"/>
  </cols>
  <sheetData>
    <row r="1" spans="1:22" ht="30.75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O1" s="124" t="s">
        <v>120</v>
      </c>
      <c r="P1" s="124"/>
      <c r="Q1" s="124"/>
      <c r="R1" s="124"/>
      <c r="S1" s="124"/>
      <c r="T1" s="124"/>
      <c r="U1" s="124"/>
      <c r="V1" s="124"/>
    </row>
    <row r="2" spans="1:22" ht="15.75" customHeight="1">
      <c r="A2" s="97" t="s">
        <v>360</v>
      </c>
      <c r="B2" s="97"/>
      <c r="C2" s="97"/>
      <c r="D2" s="76"/>
      <c r="G2" s="9"/>
      <c r="H2" s="9"/>
      <c r="I2" s="9"/>
      <c r="J2" s="9"/>
      <c r="K2" s="9"/>
      <c r="L2" s="9"/>
      <c r="M2" s="9"/>
      <c r="N2" s="9"/>
      <c r="O2" s="97" t="str">
        <f>A2</f>
        <v>열대지역 장기수조림</v>
      </c>
      <c r="P2" s="97"/>
      <c r="Q2" s="97"/>
      <c r="R2" s="76"/>
      <c r="S2" s="76"/>
      <c r="T2" s="76"/>
      <c r="U2" s="76"/>
      <c r="V2" s="76"/>
    </row>
    <row r="3" spans="1:22" s="35" customFormat="1" ht="15" customHeight="1">
      <c r="A3" s="37" t="s">
        <v>24</v>
      </c>
      <c r="B3" s="37" t="s">
        <v>0</v>
      </c>
      <c r="C3" s="36" t="s">
        <v>23</v>
      </c>
      <c r="D3" s="37" t="s">
        <v>20</v>
      </c>
      <c r="E3" s="95" t="s">
        <v>247</v>
      </c>
      <c r="F3" s="37" t="s">
        <v>70</v>
      </c>
      <c r="G3" s="37" t="s">
        <v>28</v>
      </c>
      <c r="H3" s="37" t="s">
        <v>29</v>
      </c>
      <c r="I3" s="37" t="s">
        <v>30</v>
      </c>
      <c r="J3" s="37" t="s">
        <v>64</v>
      </c>
      <c r="O3" s="37" t="s">
        <v>24</v>
      </c>
      <c r="P3" s="37" t="s">
        <v>0</v>
      </c>
      <c r="Q3" s="37" t="s">
        <v>20</v>
      </c>
      <c r="R3" s="37" t="s">
        <v>21</v>
      </c>
      <c r="S3" s="37" t="s">
        <v>28</v>
      </c>
      <c r="T3" s="37" t="s">
        <v>29</v>
      </c>
      <c r="U3" s="37" t="s">
        <v>30</v>
      </c>
      <c r="V3" s="37" t="s">
        <v>64</v>
      </c>
    </row>
    <row r="4" spans="1:22" s="35" customFormat="1" ht="15" customHeight="1">
      <c r="A4" s="47" t="s">
        <v>1</v>
      </c>
      <c r="B4" s="38" t="s">
        <v>2</v>
      </c>
      <c r="C4" s="38" t="s">
        <v>277</v>
      </c>
      <c r="D4" s="38" t="s">
        <v>22</v>
      </c>
      <c r="E4" s="39">
        <v>1</v>
      </c>
      <c r="F4" s="40"/>
      <c r="G4" s="39"/>
      <c r="H4" s="39"/>
      <c r="I4" s="39">
        <v>13.85</v>
      </c>
      <c r="J4" s="39">
        <f t="shared" ref="J4:J17" si="0">SUM(G4:I4)</f>
        <v>13.85</v>
      </c>
      <c r="L4" s="35" t="s">
        <v>80</v>
      </c>
      <c r="O4" s="52" t="s">
        <v>1</v>
      </c>
      <c r="P4" s="38" t="s">
        <v>2</v>
      </c>
      <c r="Q4" s="44" t="s">
        <v>22</v>
      </c>
      <c r="R4" s="82">
        <f>설계요소!J4</f>
        <v>40000</v>
      </c>
      <c r="S4" s="40"/>
      <c r="T4" s="40"/>
      <c r="U4" s="40">
        <f>ROUND(I4*R4,0)</f>
        <v>554000</v>
      </c>
      <c r="V4" s="40">
        <f>SUM(S4:U4)</f>
        <v>554000</v>
      </c>
    </row>
    <row r="5" spans="1:22" s="35" customFormat="1" ht="15" customHeight="1">
      <c r="A5" s="48"/>
      <c r="B5" s="38" t="s">
        <v>3</v>
      </c>
      <c r="C5" s="117" t="s">
        <v>194</v>
      </c>
      <c r="D5" s="118"/>
      <c r="E5" s="39">
        <v>1</v>
      </c>
      <c r="F5" s="40"/>
      <c r="G5" s="39"/>
      <c r="H5" s="39"/>
      <c r="I5" s="39">
        <f>ROUND(I4*0.1,2)</f>
        <v>1.39</v>
      </c>
      <c r="J5" s="39">
        <f t="shared" si="0"/>
        <v>1.39</v>
      </c>
      <c r="L5" s="35" t="s">
        <v>81</v>
      </c>
      <c r="O5" s="53"/>
      <c r="P5" s="38" t="s">
        <v>3</v>
      </c>
      <c r="Q5" s="44" t="s">
        <v>22</v>
      </c>
      <c r="R5" s="82">
        <f>설계요소!J5</f>
        <v>40000</v>
      </c>
      <c r="S5" s="40"/>
      <c r="T5" s="40"/>
      <c r="U5" s="40">
        <f>ROUND(I5*R5,0)</f>
        <v>55600</v>
      </c>
      <c r="V5" s="40">
        <f t="shared" ref="V5:V9" si="1">SUM(S5:U5)</f>
        <v>55600</v>
      </c>
    </row>
    <row r="6" spans="1:22" s="35" customFormat="1" ht="15" customHeight="1">
      <c r="A6" s="48"/>
      <c r="B6" s="38" t="s">
        <v>196</v>
      </c>
      <c r="C6" s="93" t="s">
        <v>213</v>
      </c>
      <c r="D6" s="38" t="s">
        <v>22</v>
      </c>
      <c r="E6" s="39">
        <v>1</v>
      </c>
      <c r="F6" s="40"/>
      <c r="G6" s="39"/>
      <c r="H6" s="39"/>
      <c r="I6" s="39">
        <v>1.36</v>
      </c>
      <c r="J6" s="39">
        <f t="shared" si="0"/>
        <v>1.36</v>
      </c>
      <c r="O6" s="53"/>
      <c r="P6" s="38" t="s">
        <v>196</v>
      </c>
      <c r="Q6" s="44" t="s">
        <v>22</v>
      </c>
      <c r="R6" s="82">
        <f>설계요소!J6</f>
        <v>0</v>
      </c>
      <c r="S6" s="40"/>
      <c r="T6" s="40"/>
      <c r="U6" s="40">
        <f t="shared" ref="U6:U9" si="2">ROUND(I6*R6,0)</f>
        <v>0</v>
      </c>
      <c r="V6" s="40">
        <f t="shared" si="1"/>
        <v>0</v>
      </c>
    </row>
    <row r="7" spans="1:22" s="35" customFormat="1" ht="15" customHeight="1">
      <c r="A7" s="48"/>
      <c r="B7" s="38" t="s">
        <v>197</v>
      </c>
      <c r="C7" s="93" t="s">
        <v>213</v>
      </c>
      <c r="D7" s="38" t="s">
        <v>22</v>
      </c>
      <c r="E7" s="39">
        <v>1</v>
      </c>
      <c r="F7" s="40"/>
      <c r="G7" s="39"/>
      <c r="H7" s="39"/>
      <c r="I7" s="39">
        <v>1.25</v>
      </c>
      <c r="J7" s="39">
        <f t="shared" si="0"/>
        <v>1.25</v>
      </c>
      <c r="O7" s="53"/>
      <c r="P7" s="38" t="s">
        <v>197</v>
      </c>
      <c r="Q7" s="44" t="s">
        <v>22</v>
      </c>
      <c r="R7" s="82">
        <f>설계요소!J7</f>
        <v>0</v>
      </c>
      <c r="S7" s="40"/>
      <c r="T7" s="40"/>
      <c r="U7" s="40">
        <f t="shared" si="2"/>
        <v>0</v>
      </c>
      <c r="V7" s="40">
        <f t="shared" si="1"/>
        <v>0</v>
      </c>
    </row>
    <row r="8" spans="1:22" s="35" customFormat="1" ht="15" customHeight="1">
      <c r="A8" s="48"/>
      <c r="B8" s="38" t="s">
        <v>198</v>
      </c>
      <c r="C8" s="93" t="s">
        <v>230</v>
      </c>
      <c r="D8" s="38" t="s">
        <v>232</v>
      </c>
      <c r="E8" s="39">
        <f>설계요소!I8</f>
        <v>0</v>
      </c>
      <c r="F8" s="40"/>
      <c r="G8" s="39">
        <f>E8*설계요소!A4</f>
        <v>0</v>
      </c>
      <c r="H8" s="39"/>
      <c r="I8" s="39">
        <v>0</v>
      </c>
      <c r="J8" s="39">
        <f t="shared" si="0"/>
        <v>0</v>
      </c>
      <c r="O8" s="53"/>
      <c r="P8" s="38" t="s">
        <v>198</v>
      </c>
      <c r="Q8" s="44" t="s">
        <v>22</v>
      </c>
      <c r="R8" s="82">
        <f>설계요소!J8</f>
        <v>0</v>
      </c>
      <c r="S8" s="40">
        <f>G8*R8</f>
        <v>0</v>
      </c>
      <c r="T8" s="40"/>
      <c r="U8" s="40">
        <f t="shared" si="2"/>
        <v>0</v>
      </c>
      <c r="V8" s="40">
        <f t="shared" si="1"/>
        <v>0</v>
      </c>
    </row>
    <row r="9" spans="1:22" s="35" customFormat="1" ht="15" customHeight="1">
      <c r="A9" s="48"/>
      <c r="B9" s="38" t="s">
        <v>201</v>
      </c>
      <c r="C9" s="93"/>
      <c r="D9" s="38"/>
      <c r="E9" s="39"/>
      <c r="F9" s="40"/>
      <c r="G9" s="39"/>
      <c r="H9" s="39"/>
      <c r="I9" s="39">
        <v>0</v>
      </c>
      <c r="J9" s="39">
        <f t="shared" si="0"/>
        <v>0</v>
      </c>
      <c r="O9" s="53"/>
      <c r="P9" s="38" t="s">
        <v>201</v>
      </c>
      <c r="Q9" s="44" t="s">
        <v>22</v>
      </c>
      <c r="R9" s="82">
        <v>0</v>
      </c>
      <c r="S9" s="40"/>
      <c r="T9" s="40"/>
      <c r="U9" s="40">
        <f t="shared" si="2"/>
        <v>0</v>
      </c>
      <c r="V9" s="40">
        <f t="shared" si="1"/>
        <v>0</v>
      </c>
    </row>
    <row r="10" spans="1:22" s="35" customFormat="1" ht="15" customHeight="1">
      <c r="A10" s="48"/>
      <c r="B10" s="38" t="s">
        <v>79</v>
      </c>
      <c r="C10" s="38"/>
      <c r="D10" s="38"/>
      <c r="E10" s="39"/>
      <c r="F10" s="40"/>
      <c r="G10" s="39">
        <f t="shared" ref="G10:I10" si="3">SUM(G4:G9)</f>
        <v>0</v>
      </c>
      <c r="H10" s="39">
        <f t="shared" si="3"/>
        <v>0</v>
      </c>
      <c r="I10" s="39">
        <f t="shared" si="3"/>
        <v>17.850000000000001</v>
      </c>
      <c r="J10" s="39">
        <f>SUM(J4:J9)</f>
        <v>17.850000000000001</v>
      </c>
      <c r="O10" s="53"/>
      <c r="P10" s="38" t="s">
        <v>79</v>
      </c>
      <c r="Q10" s="44"/>
      <c r="R10" s="40"/>
      <c r="S10" s="40">
        <f>SUM(S4:S9)</f>
        <v>0</v>
      </c>
      <c r="T10" s="40">
        <f t="shared" ref="T10:V10" si="4">SUM(T4:T9)</f>
        <v>0</v>
      </c>
      <c r="U10" s="40">
        <f t="shared" si="4"/>
        <v>609600</v>
      </c>
      <c r="V10" s="40">
        <f t="shared" si="4"/>
        <v>609600</v>
      </c>
    </row>
    <row r="11" spans="1:22" s="35" customFormat="1" ht="15" customHeight="1">
      <c r="A11" s="52" t="s">
        <v>4</v>
      </c>
      <c r="B11" s="38" t="s">
        <v>5</v>
      </c>
      <c r="C11" s="38" t="s">
        <v>278</v>
      </c>
      <c r="D11" s="38" t="s">
        <v>232</v>
      </c>
      <c r="E11" s="39">
        <f>설계요소!I9</f>
        <v>4</v>
      </c>
      <c r="F11" s="40"/>
      <c r="G11" s="39">
        <f>E11*설계요소!B4</f>
        <v>24</v>
      </c>
      <c r="H11" s="39"/>
      <c r="I11" s="39"/>
      <c r="J11" s="39">
        <f t="shared" si="0"/>
        <v>24</v>
      </c>
      <c r="O11" s="52" t="s">
        <v>4</v>
      </c>
      <c r="P11" s="38" t="s">
        <v>5</v>
      </c>
      <c r="Q11" s="44" t="s">
        <v>121</v>
      </c>
      <c r="R11" s="40">
        <f>설계요소!J9</f>
        <v>1000</v>
      </c>
      <c r="S11" s="40">
        <f>R11*G11</f>
        <v>24000</v>
      </c>
      <c r="T11" s="40"/>
      <c r="U11" s="40">
        <f>ROUND(I11*R11,0)</f>
        <v>0</v>
      </c>
      <c r="V11" s="40">
        <f t="shared" ref="V11:V24" si="5">SUM(S11:U11)</f>
        <v>24000</v>
      </c>
    </row>
    <row r="12" spans="1:22" s="35" customFormat="1" ht="15" customHeight="1">
      <c r="A12" s="53"/>
      <c r="B12" s="38" t="s">
        <v>6</v>
      </c>
      <c r="C12" s="38" t="s">
        <v>26</v>
      </c>
      <c r="D12" s="38" t="s">
        <v>234</v>
      </c>
      <c r="E12" s="39">
        <f>설계요소!I10</f>
        <v>2</v>
      </c>
      <c r="F12" s="40"/>
      <c r="G12" s="39">
        <f>ROUND(E12*기계경비!E4,2)</f>
        <v>12</v>
      </c>
      <c r="H12" s="39">
        <f>ROUND(E12*기계경비!F4,2)</f>
        <v>17.48</v>
      </c>
      <c r="I12" s="39">
        <f>ROUND(E12*기계경비!G4,2)</f>
        <v>15.28</v>
      </c>
      <c r="J12" s="39">
        <f t="shared" si="0"/>
        <v>44.76</v>
      </c>
      <c r="O12" s="53"/>
      <c r="P12" s="38" t="s">
        <v>6</v>
      </c>
      <c r="Q12" s="44" t="s">
        <v>121</v>
      </c>
      <c r="R12" s="40">
        <f>설계요소!J10</f>
        <v>1000</v>
      </c>
      <c r="S12" s="40">
        <f>ROUND(G12*$R$12,0)</f>
        <v>12000</v>
      </c>
      <c r="T12" s="40">
        <f t="shared" ref="T12:U12" si="6">ROUND(H12*$R$12,0)</f>
        <v>17480</v>
      </c>
      <c r="U12" s="40">
        <f t="shared" si="6"/>
        <v>15280</v>
      </c>
      <c r="V12" s="40">
        <f t="shared" si="5"/>
        <v>44760</v>
      </c>
    </row>
    <row r="13" spans="1:22" s="35" customFormat="1" ht="15" customHeight="1">
      <c r="A13" s="53"/>
      <c r="B13" s="38" t="s">
        <v>7</v>
      </c>
      <c r="C13" s="38" t="s">
        <v>230</v>
      </c>
      <c r="D13" s="38" t="s">
        <v>232</v>
      </c>
      <c r="E13" s="39">
        <f>설계요소!I11</f>
        <v>24</v>
      </c>
      <c r="F13" s="40"/>
      <c r="G13" s="39">
        <f>E13*설계요소!A4</f>
        <v>120</v>
      </c>
      <c r="H13" s="39"/>
      <c r="I13" s="39"/>
      <c r="J13" s="39">
        <f t="shared" si="0"/>
        <v>120</v>
      </c>
      <c r="O13" s="53"/>
      <c r="P13" s="38" t="s">
        <v>7</v>
      </c>
      <c r="Q13" s="44" t="s">
        <v>121</v>
      </c>
      <c r="R13" s="40">
        <f>설계요소!J11</f>
        <v>0</v>
      </c>
      <c r="S13" s="40">
        <f>R13*G13</f>
        <v>0</v>
      </c>
      <c r="T13" s="40"/>
      <c r="U13" s="40"/>
      <c r="V13" s="40">
        <f t="shared" si="5"/>
        <v>0</v>
      </c>
    </row>
    <row r="14" spans="1:22" s="35" customFormat="1" ht="15" customHeight="1">
      <c r="A14" s="53"/>
      <c r="B14" s="38" t="s">
        <v>202</v>
      </c>
      <c r="C14" s="38" t="s">
        <v>230</v>
      </c>
      <c r="D14" s="38" t="s">
        <v>232</v>
      </c>
      <c r="E14" s="39">
        <f>설계요소!I12</f>
        <v>8</v>
      </c>
      <c r="F14" s="40"/>
      <c r="G14" s="39">
        <f>E14*설계요소!A4</f>
        <v>40</v>
      </c>
      <c r="H14" s="39"/>
      <c r="I14" s="39"/>
      <c r="J14" s="39">
        <f t="shared" si="0"/>
        <v>40</v>
      </c>
      <c r="O14" s="53"/>
      <c r="P14" s="38" t="s">
        <v>202</v>
      </c>
      <c r="Q14" s="44" t="s">
        <v>214</v>
      </c>
      <c r="R14" s="40">
        <f>설계요소!J12</f>
        <v>0</v>
      </c>
      <c r="S14" s="40">
        <f>R14*G14</f>
        <v>0</v>
      </c>
      <c r="T14" s="40"/>
      <c r="U14" s="40"/>
      <c r="V14" s="40">
        <f t="shared" si="5"/>
        <v>0</v>
      </c>
    </row>
    <row r="15" spans="1:22" s="35" customFormat="1" ht="15" customHeight="1">
      <c r="A15" s="53"/>
      <c r="B15" s="38" t="s">
        <v>8</v>
      </c>
      <c r="C15" s="38" t="s">
        <v>25</v>
      </c>
      <c r="D15" s="38" t="s">
        <v>234</v>
      </c>
      <c r="E15" s="39">
        <f>설계요소!I13</f>
        <v>2</v>
      </c>
      <c r="F15" s="40"/>
      <c r="G15" s="39">
        <f>ROUND(E15*기계경비!E14,2)</f>
        <v>16</v>
      </c>
      <c r="H15" s="39">
        <f>ROUND(E15*기계경비!F14,2)</f>
        <v>139.38</v>
      </c>
      <c r="I15" s="39">
        <f>ROUND(E15*기계경비!G14,2)</f>
        <v>258.10000000000002</v>
      </c>
      <c r="J15" s="39">
        <f t="shared" si="0"/>
        <v>413.48</v>
      </c>
      <c r="O15" s="53"/>
      <c r="P15" s="38" t="s">
        <v>8</v>
      </c>
      <c r="Q15" s="44" t="s">
        <v>121</v>
      </c>
      <c r="R15" s="40">
        <f>설계요소!J13</f>
        <v>1000</v>
      </c>
      <c r="S15" s="40">
        <f>ROUND(G15*$R$15,0)</f>
        <v>16000</v>
      </c>
      <c r="T15" s="40">
        <f t="shared" ref="T15:U15" si="7">ROUND(H15*$R$15,0)</f>
        <v>139380</v>
      </c>
      <c r="U15" s="40">
        <f t="shared" si="7"/>
        <v>258100</v>
      </c>
      <c r="V15" s="40">
        <f t="shared" si="5"/>
        <v>413480</v>
      </c>
    </row>
    <row r="16" spans="1:22" s="35" customFormat="1" ht="15" customHeight="1">
      <c r="A16" s="53"/>
      <c r="B16" s="38" t="s">
        <v>203</v>
      </c>
      <c r="C16" s="38" t="s">
        <v>204</v>
      </c>
      <c r="D16" s="38" t="s">
        <v>235</v>
      </c>
      <c r="E16" s="39">
        <f>설계요소!I14</f>
        <v>0.5</v>
      </c>
      <c r="F16" s="40"/>
      <c r="G16" s="39">
        <f>E16*기계경비!E19</f>
        <v>4</v>
      </c>
      <c r="H16" s="39">
        <f>E16*기계경비!F19</f>
        <v>12.74</v>
      </c>
      <c r="I16" s="39">
        <f>E16*기계경비!G19</f>
        <v>21.83</v>
      </c>
      <c r="J16" s="39">
        <f t="shared" si="0"/>
        <v>38.57</v>
      </c>
      <c r="O16" s="53"/>
      <c r="P16" s="38" t="s">
        <v>203</v>
      </c>
      <c r="Q16" s="44" t="s">
        <v>121</v>
      </c>
      <c r="R16" s="40">
        <f>설계요소!J14</f>
        <v>0</v>
      </c>
      <c r="S16" s="40">
        <f>R16*G16</f>
        <v>0</v>
      </c>
      <c r="T16" s="40">
        <f>R16*H16</f>
        <v>0</v>
      </c>
      <c r="U16" s="40">
        <f>R16*I16</f>
        <v>0</v>
      </c>
      <c r="V16" s="40">
        <f t="shared" si="5"/>
        <v>0</v>
      </c>
    </row>
    <row r="17" spans="1:24" s="35" customFormat="1" ht="15" customHeight="1">
      <c r="A17" s="53"/>
      <c r="B17" s="38" t="s">
        <v>201</v>
      </c>
      <c r="C17" s="38"/>
      <c r="D17" s="38"/>
      <c r="E17" s="39"/>
      <c r="F17" s="40"/>
      <c r="G17" s="39"/>
      <c r="H17" s="39"/>
      <c r="I17" s="39"/>
      <c r="J17" s="39">
        <f t="shared" si="0"/>
        <v>0</v>
      </c>
      <c r="O17" s="53"/>
      <c r="P17" s="38" t="s">
        <v>201</v>
      </c>
      <c r="Q17" s="44" t="s">
        <v>121</v>
      </c>
      <c r="R17" s="40">
        <v>0</v>
      </c>
      <c r="S17" s="40"/>
      <c r="T17" s="40"/>
      <c r="U17" s="40"/>
      <c r="V17" s="40">
        <f t="shared" si="5"/>
        <v>0</v>
      </c>
    </row>
    <row r="18" spans="1:24" s="35" customFormat="1" ht="15" customHeight="1">
      <c r="A18" s="54"/>
      <c r="B18" s="38" t="s">
        <v>79</v>
      </c>
      <c r="C18" s="38"/>
      <c r="D18" s="38"/>
      <c r="E18" s="39"/>
      <c r="F18" s="40"/>
      <c r="G18" s="39">
        <f t="shared" ref="G18:I18" si="8">SUM(G11:G17)</f>
        <v>216</v>
      </c>
      <c r="H18" s="39">
        <f t="shared" si="8"/>
        <v>169.6</v>
      </c>
      <c r="I18" s="39">
        <f t="shared" si="8"/>
        <v>295.20999999999998</v>
      </c>
      <c r="J18" s="39">
        <f>SUM(J11:J17)</f>
        <v>680.81000000000006</v>
      </c>
      <c r="O18" s="54"/>
      <c r="P18" s="38" t="s">
        <v>79</v>
      </c>
      <c r="Q18" s="44"/>
      <c r="R18" s="40"/>
      <c r="S18" s="40">
        <f>SUM(S11:S17)</f>
        <v>52000</v>
      </c>
      <c r="T18" s="40">
        <f t="shared" ref="T18:V18" si="9">SUM(T11:T17)</f>
        <v>156860</v>
      </c>
      <c r="U18" s="40">
        <f t="shared" si="9"/>
        <v>273380</v>
      </c>
      <c r="V18" s="40">
        <f t="shared" si="9"/>
        <v>482240</v>
      </c>
    </row>
    <row r="19" spans="1:24" s="35" customFormat="1" ht="15" customHeight="1">
      <c r="A19" s="48" t="s">
        <v>9</v>
      </c>
      <c r="B19" s="49" t="s">
        <v>10</v>
      </c>
      <c r="C19" s="38" t="s">
        <v>230</v>
      </c>
      <c r="D19" s="38" t="s">
        <v>232</v>
      </c>
      <c r="E19" s="39">
        <f>설계요소!I15</f>
        <v>8</v>
      </c>
      <c r="F19" s="40"/>
      <c r="G19" s="39">
        <f>ROUND(E19*설계요소!A4,2)</f>
        <v>40</v>
      </c>
      <c r="H19" s="39"/>
      <c r="I19" s="39"/>
      <c r="J19" s="39">
        <f t="shared" ref="J19:J28" si="10">SUM(G19:I19)</f>
        <v>40</v>
      </c>
      <c r="O19" s="53" t="s">
        <v>9</v>
      </c>
      <c r="P19" s="38" t="s">
        <v>10</v>
      </c>
      <c r="Q19" s="44" t="s">
        <v>121</v>
      </c>
      <c r="R19" s="40">
        <f>설계요소!J15</f>
        <v>1000</v>
      </c>
      <c r="S19" s="40">
        <f>ROUND(G19*$R$19,0)</f>
        <v>40000</v>
      </c>
      <c r="T19" s="40"/>
      <c r="U19" s="40"/>
      <c r="V19" s="40">
        <f t="shared" si="5"/>
        <v>40000</v>
      </c>
      <c r="X19" s="102"/>
    </row>
    <row r="20" spans="1:24" s="35" customFormat="1" ht="15" customHeight="1">
      <c r="A20" s="48"/>
      <c r="B20" s="49" t="s">
        <v>205</v>
      </c>
      <c r="C20" s="72" t="s">
        <v>230</v>
      </c>
      <c r="D20" s="38" t="s">
        <v>285</v>
      </c>
      <c r="E20" s="39">
        <f>설계요소!I16</f>
        <v>4.5</v>
      </c>
      <c r="F20" s="40"/>
      <c r="G20" s="39">
        <f>(E20*E21/100)*설계요소!A4</f>
        <v>24.975000000000001</v>
      </c>
      <c r="H20" s="39"/>
      <c r="I20" s="39"/>
      <c r="J20" s="39">
        <f t="shared" si="10"/>
        <v>24.975000000000001</v>
      </c>
      <c r="O20" s="53"/>
      <c r="P20" s="38" t="s">
        <v>205</v>
      </c>
      <c r="Q20" s="44" t="s">
        <v>121</v>
      </c>
      <c r="R20" s="40">
        <f>설계요소!J16</f>
        <v>0</v>
      </c>
      <c r="S20" s="40">
        <f>R20*G20</f>
        <v>0</v>
      </c>
      <c r="T20" s="40">
        <f>R20*H21</f>
        <v>0</v>
      </c>
      <c r="U20" s="40"/>
      <c r="V20" s="40">
        <f t="shared" si="5"/>
        <v>0</v>
      </c>
    </row>
    <row r="21" spans="1:24" s="35" customFormat="1" ht="15" customHeight="1">
      <c r="A21" s="48"/>
      <c r="B21" s="51"/>
      <c r="C21" s="72" t="s">
        <v>72</v>
      </c>
      <c r="D21" s="43" t="s">
        <v>236</v>
      </c>
      <c r="E21" s="39">
        <f>설계요소!I17</f>
        <v>111</v>
      </c>
      <c r="F21" s="40"/>
      <c r="G21" s="39"/>
      <c r="H21" s="39">
        <f>E21*설계요소!C10/50</f>
        <v>69.930000000000007</v>
      </c>
      <c r="I21" s="39"/>
      <c r="J21" s="39">
        <f t="shared" si="10"/>
        <v>69.930000000000007</v>
      </c>
      <c r="O21" s="53"/>
      <c r="P21" s="38" t="s">
        <v>11</v>
      </c>
      <c r="Q21" s="44" t="s">
        <v>121</v>
      </c>
      <c r="R21" s="40">
        <f>설계요소!J18</f>
        <v>1000</v>
      </c>
      <c r="S21" s="40">
        <f>ROUND(G22*$R$21,0)</f>
        <v>29290</v>
      </c>
      <c r="T21" s="40">
        <f>ROUND(R21*(H23+H24),0)</f>
        <v>72188</v>
      </c>
      <c r="U21" s="40"/>
      <c r="V21" s="40">
        <f t="shared" si="5"/>
        <v>101478</v>
      </c>
    </row>
    <row r="22" spans="1:24" s="35" customFormat="1" ht="15" customHeight="1">
      <c r="A22" s="48"/>
      <c r="B22" s="50" t="s">
        <v>11</v>
      </c>
      <c r="C22" s="72" t="s">
        <v>230</v>
      </c>
      <c r="D22" s="38" t="s">
        <v>31</v>
      </c>
      <c r="E22" s="39">
        <f>설계요소!I18</f>
        <v>0.71</v>
      </c>
      <c r="F22" s="40"/>
      <c r="G22" s="39">
        <f>ROUND(E22*E23/100*설계요소!A4,2)</f>
        <v>29.29</v>
      </c>
      <c r="H22" s="39"/>
      <c r="I22" s="39"/>
      <c r="J22" s="39">
        <f t="shared" si="10"/>
        <v>29.29</v>
      </c>
      <c r="L22" s="35" t="s">
        <v>110</v>
      </c>
      <c r="O22" s="53"/>
      <c r="P22" s="38" t="s">
        <v>12</v>
      </c>
      <c r="Q22" s="44" t="s">
        <v>121</v>
      </c>
      <c r="R22" s="40">
        <f>R21</f>
        <v>1000</v>
      </c>
      <c r="S22" s="40">
        <f>R22*G25</f>
        <v>2930</v>
      </c>
      <c r="T22" s="40">
        <f>R22*H25</f>
        <v>6810</v>
      </c>
      <c r="U22" s="40"/>
      <c r="V22" s="40">
        <f t="shared" si="5"/>
        <v>9740</v>
      </c>
    </row>
    <row r="23" spans="1:24" s="35" customFormat="1" ht="15" customHeight="1">
      <c r="A23" s="48"/>
      <c r="B23" s="50"/>
      <c r="C23" s="72" t="s">
        <v>65</v>
      </c>
      <c r="D23" s="38" t="s">
        <v>237</v>
      </c>
      <c r="E23" s="40">
        <f>설계요소!I19</f>
        <v>825</v>
      </c>
      <c r="F23" s="40"/>
      <c r="G23" s="39"/>
      <c r="H23" s="39">
        <f>E23*설계요소!C12</f>
        <v>68.0625</v>
      </c>
      <c r="I23" s="39"/>
      <c r="J23" s="39">
        <f t="shared" si="10"/>
        <v>68.0625</v>
      </c>
      <c r="O23" s="53"/>
      <c r="P23" s="44" t="s">
        <v>215</v>
      </c>
      <c r="Q23" s="44" t="s">
        <v>121</v>
      </c>
      <c r="R23" s="40">
        <f>설계요소!J21</f>
        <v>0</v>
      </c>
      <c r="S23" s="40">
        <f>R23*G26</f>
        <v>0</v>
      </c>
      <c r="T23" s="40">
        <f>R23*H27</f>
        <v>0</v>
      </c>
      <c r="U23" s="40"/>
      <c r="V23" s="40">
        <f t="shared" si="5"/>
        <v>0</v>
      </c>
    </row>
    <row r="24" spans="1:24" s="35" customFormat="1" ht="15" customHeight="1">
      <c r="B24" s="54"/>
      <c r="C24" s="44" t="s">
        <v>199</v>
      </c>
      <c r="D24" s="44" t="s">
        <v>238</v>
      </c>
      <c r="E24" s="83">
        <f>E23</f>
        <v>825</v>
      </c>
      <c r="F24" s="44"/>
      <c r="G24" s="44"/>
      <c r="H24" s="46">
        <f>E24*설계요소!C13/100</f>
        <v>4.125</v>
      </c>
      <c r="I24" s="44"/>
      <c r="J24" s="39">
        <f t="shared" si="10"/>
        <v>4.125</v>
      </c>
      <c r="O24" s="53"/>
      <c r="P24" s="44" t="s">
        <v>201</v>
      </c>
      <c r="Q24" s="44" t="s">
        <v>121</v>
      </c>
      <c r="R24" s="40"/>
      <c r="S24" s="40"/>
      <c r="T24" s="40"/>
      <c r="U24" s="40"/>
      <c r="V24" s="40">
        <f t="shared" si="5"/>
        <v>0</v>
      </c>
    </row>
    <row r="25" spans="1:24" s="35" customFormat="1" ht="15" customHeight="1">
      <c r="A25" s="48"/>
      <c r="B25" s="49" t="s">
        <v>12</v>
      </c>
      <c r="C25" s="125" t="s">
        <v>195</v>
      </c>
      <c r="D25" s="126"/>
      <c r="E25" s="39"/>
      <c r="F25" s="40"/>
      <c r="G25" s="39">
        <f>ROUND(G22*0.1,2)</f>
        <v>2.93</v>
      </c>
      <c r="H25" s="39">
        <f>ROUND(H23*0.1,2)</f>
        <v>6.81</v>
      </c>
      <c r="I25" s="39"/>
      <c r="J25" s="39">
        <f t="shared" si="10"/>
        <v>9.74</v>
      </c>
      <c r="O25" s="53"/>
      <c r="P25" s="38" t="s">
        <v>79</v>
      </c>
      <c r="Q25" s="44"/>
      <c r="R25" s="40"/>
      <c r="S25" s="40">
        <f>SUM(S19:S24)</f>
        <v>72220</v>
      </c>
      <c r="T25" s="40">
        <f t="shared" ref="T25:V25" si="11">SUM(T19:T24)</f>
        <v>78998</v>
      </c>
      <c r="U25" s="40">
        <f t="shared" si="11"/>
        <v>0</v>
      </c>
      <c r="V25" s="40">
        <f t="shared" si="11"/>
        <v>151218</v>
      </c>
    </row>
    <row r="26" spans="1:24" s="35" customFormat="1" ht="15" customHeight="1">
      <c r="A26" s="48"/>
      <c r="B26" s="49" t="s">
        <v>192</v>
      </c>
      <c r="C26" s="41" t="s">
        <v>230</v>
      </c>
      <c r="D26" s="98" t="s">
        <v>231</v>
      </c>
      <c r="E26" s="39">
        <f>설계요소!I21</f>
        <v>0.96</v>
      </c>
      <c r="F26" s="40"/>
      <c r="G26" s="39">
        <f>E26*설계요소!A4</f>
        <v>4.8</v>
      </c>
      <c r="H26" s="39"/>
      <c r="I26" s="39"/>
      <c r="J26" s="39">
        <f t="shared" si="10"/>
        <v>4.8</v>
      </c>
      <c r="O26" s="52" t="s">
        <v>13</v>
      </c>
      <c r="P26" s="38" t="s">
        <v>14</v>
      </c>
      <c r="Q26" s="44" t="s">
        <v>121</v>
      </c>
      <c r="R26" s="40">
        <f>설계요소!J23</f>
        <v>1000</v>
      </c>
      <c r="S26" s="40">
        <f>R26*G30</f>
        <v>25000</v>
      </c>
      <c r="T26" s="40"/>
      <c r="U26" s="40"/>
      <c r="V26" s="40">
        <f t="shared" ref="V26:V35" si="12">SUM(S26:U26)</f>
        <v>25000</v>
      </c>
    </row>
    <row r="27" spans="1:24" s="35" customFormat="1" ht="15" customHeight="1">
      <c r="A27" s="48"/>
      <c r="B27" s="51"/>
      <c r="C27" s="99" t="s">
        <v>193</v>
      </c>
      <c r="D27" s="43" t="s">
        <v>236</v>
      </c>
      <c r="E27" s="39">
        <f>설계요소!I22</f>
        <v>8.3000000000000007</v>
      </c>
      <c r="F27" s="40"/>
      <c r="G27" s="39"/>
      <c r="H27" s="39">
        <f>E27*설계요소!C14</f>
        <v>40.172000000000004</v>
      </c>
      <c r="I27" s="39"/>
      <c r="J27" s="39">
        <f t="shared" si="10"/>
        <v>40.172000000000004</v>
      </c>
      <c r="O27" s="53"/>
      <c r="P27" s="38" t="s">
        <v>355</v>
      </c>
      <c r="Q27" s="44" t="s">
        <v>121</v>
      </c>
      <c r="R27" s="40">
        <f>설계요소!J24</f>
        <v>1000</v>
      </c>
      <c r="S27" s="40">
        <f>R27*G31</f>
        <v>15000</v>
      </c>
      <c r="T27" s="40"/>
      <c r="U27" s="40"/>
      <c r="V27" s="40">
        <f t="shared" si="12"/>
        <v>15000</v>
      </c>
    </row>
    <row r="28" spans="1:24" s="35" customFormat="1" ht="15" customHeight="1">
      <c r="A28" s="48"/>
      <c r="B28" s="51" t="s">
        <v>201</v>
      </c>
      <c r="C28" s="99"/>
      <c r="D28" s="43"/>
      <c r="E28" s="39"/>
      <c r="F28" s="40"/>
      <c r="G28" s="39"/>
      <c r="H28" s="39"/>
      <c r="I28" s="39"/>
      <c r="J28" s="39">
        <f t="shared" si="10"/>
        <v>0</v>
      </c>
      <c r="O28" s="53"/>
      <c r="P28" s="38" t="s">
        <v>68</v>
      </c>
      <c r="Q28" s="44" t="s">
        <v>121</v>
      </c>
      <c r="R28" s="40">
        <f>설계요소!J25</f>
        <v>1000</v>
      </c>
      <c r="S28" s="40">
        <f>R28*G32</f>
        <v>12500</v>
      </c>
      <c r="T28" s="40"/>
      <c r="U28" s="40"/>
      <c r="V28" s="40">
        <f t="shared" si="12"/>
        <v>12500</v>
      </c>
    </row>
    <row r="29" spans="1:24" s="35" customFormat="1" ht="15" customHeight="1">
      <c r="A29" s="48"/>
      <c r="B29" s="51" t="s">
        <v>79</v>
      </c>
      <c r="C29" s="42"/>
      <c r="D29" s="38"/>
      <c r="E29" s="39"/>
      <c r="F29" s="40"/>
      <c r="G29" s="39">
        <f t="shared" ref="G29:I29" si="13">SUM(G19:G28)</f>
        <v>101.99499999999999</v>
      </c>
      <c r="H29" s="39">
        <f t="shared" si="13"/>
        <v>189.09950000000001</v>
      </c>
      <c r="I29" s="39">
        <f t="shared" si="13"/>
        <v>0</v>
      </c>
      <c r="J29" s="39">
        <f>SUM(J19:J28)</f>
        <v>291.09450000000004</v>
      </c>
      <c r="O29" s="53"/>
      <c r="P29" s="38" t="s">
        <v>17</v>
      </c>
      <c r="Q29" s="44" t="s">
        <v>121</v>
      </c>
      <c r="R29" s="40">
        <f>설계요소!J26</f>
        <v>0</v>
      </c>
      <c r="S29" s="40">
        <f>R29*F33*G33</f>
        <v>0</v>
      </c>
      <c r="T29" s="40">
        <f>R29*H34*F34</f>
        <v>0</v>
      </c>
      <c r="U29" s="40"/>
      <c r="V29" s="40">
        <f t="shared" si="12"/>
        <v>0</v>
      </c>
      <c r="X29" s="102"/>
    </row>
    <row r="30" spans="1:24" s="35" customFormat="1" ht="15" customHeight="1">
      <c r="A30" s="52" t="s">
        <v>13</v>
      </c>
      <c r="B30" s="38" t="s">
        <v>14</v>
      </c>
      <c r="C30" s="38" t="s">
        <v>230</v>
      </c>
      <c r="D30" s="38" t="s">
        <v>239</v>
      </c>
      <c r="E30" s="39">
        <f>설계요소!I23</f>
        <v>5</v>
      </c>
      <c r="F30" s="66">
        <v>1</v>
      </c>
      <c r="G30" s="39">
        <f>E30*F30*설계요소!A4</f>
        <v>25</v>
      </c>
      <c r="H30" s="39"/>
      <c r="I30" s="39"/>
      <c r="J30" s="39">
        <f>SUM(G30:I30)</f>
        <v>25</v>
      </c>
      <c r="O30" s="53"/>
      <c r="P30" s="38" t="s">
        <v>16</v>
      </c>
      <c r="Q30" s="44" t="s">
        <v>121</v>
      </c>
      <c r="R30" s="40">
        <f>설계요소!J28</f>
        <v>1000</v>
      </c>
      <c r="S30" s="40">
        <f>R30*G35</f>
        <v>13736.250000000002</v>
      </c>
      <c r="T30" s="40">
        <f>R30*F36*H36</f>
        <v>51975</v>
      </c>
      <c r="U30" s="40"/>
      <c r="V30" s="40">
        <f t="shared" si="12"/>
        <v>65711.25</v>
      </c>
    </row>
    <row r="31" spans="1:24" s="35" customFormat="1" ht="15" customHeight="1">
      <c r="A31" s="53"/>
      <c r="B31" s="38" t="s">
        <v>355</v>
      </c>
      <c r="C31" s="38" t="s">
        <v>127</v>
      </c>
      <c r="D31" s="38" t="s">
        <v>239</v>
      </c>
      <c r="E31" s="39">
        <f>설계요소!I24</f>
        <v>3</v>
      </c>
      <c r="F31" s="66">
        <v>1</v>
      </c>
      <c r="G31" s="39">
        <f>E31*F31*설계요소!A4</f>
        <v>15</v>
      </c>
      <c r="H31" s="39"/>
      <c r="I31" s="39"/>
      <c r="J31" s="39">
        <f>SUM(G31:I31)</f>
        <v>15</v>
      </c>
      <c r="O31" s="53"/>
      <c r="P31" s="38" t="s">
        <v>18</v>
      </c>
      <c r="Q31" s="44" t="s">
        <v>121</v>
      </c>
      <c r="R31" s="40">
        <f>설계요소!J30</f>
        <v>0</v>
      </c>
      <c r="S31" s="40">
        <f>R31*G37</f>
        <v>0</v>
      </c>
      <c r="T31" s="40">
        <f>R31*H37</f>
        <v>0</v>
      </c>
      <c r="U31" s="40">
        <f>R31*I37</f>
        <v>0</v>
      </c>
      <c r="V31" s="40">
        <f t="shared" si="12"/>
        <v>0</v>
      </c>
    </row>
    <row r="32" spans="1:24" s="35" customFormat="1" ht="15" customHeight="1">
      <c r="A32" s="53"/>
      <c r="B32" s="38" t="s">
        <v>68</v>
      </c>
      <c r="C32" s="38" t="s">
        <v>230</v>
      </c>
      <c r="D32" s="38" t="s">
        <v>239</v>
      </c>
      <c r="E32" s="39">
        <f>설계요소!I25</f>
        <v>2.5</v>
      </c>
      <c r="F32" s="66">
        <v>1</v>
      </c>
      <c r="G32" s="39">
        <f>E32*F32*설계요소!A4</f>
        <v>12.5</v>
      </c>
      <c r="H32" s="39"/>
      <c r="I32" s="39"/>
      <c r="J32" s="39">
        <f t="shared" ref="J32:J42" si="14">SUM(G32:I32)</f>
        <v>12.5</v>
      </c>
      <c r="O32" s="53"/>
      <c r="P32" s="38" t="s">
        <v>206</v>
      </c>
      <c r="Q32" s="44" t="s">
        <v>121</v>
      </c>
      <c r="R32" s="83">
        <f>설계요소!J31</f>
        <v>0</v>
      </c>
      <c r="S32" s="40">
        <f>R32*G38</f>
        <v>0</v>
      </c>
      <c r="T32" s="40">
        <f>R32*H39</f>
        <v>0</v>
      </c>
      <c r="U32" s="40"/>
      <c r="V32" s="40">
        <f t="shared" si="12"/>
        <v>0</v>
      </c>
    </row>
    <row r="33" spans="1:22" s="35" customFormat="1" ht="15" customHeight="1">
      <c r="A33" s="53"/>
      <c r="B33" s="49" t="s">
        <v>17</v>
      </c>
      <c r="C33" s="38" t="s">
        <v>230</v>
      </c>
      <c r="D33" s="38" t="s">
        <v>239</v>
      </c>
      <c r="E33" s="39">
        <f>설계요소!I26</f>
        <v>3.4</v>
      </c>
      <c r="F33" s="40">
        <f>설계요소!B20</f>
        <v>1</v>
      </c>
      <c r="G33" s="39">
        <f>E33*F33*설계요소!A4</f>
        <v>17</v>
      </c>
      <c r="H33" s="39"/>
      <c r="I33" s="39"/>
      <c r="J33" s="39">
        <f t="shared" si="14"/>
        <v>17</v>
      </c>
      <c r="O33" s="53"/>
      <c r="P33" s="38" t="s">
        <v>207</v>
      </c>
      <c r="Q33" s="44" t="s">
        <v>121</v>
      </c>
      <c r="R33" s="83">
        <f>설계요소!J33</f>
        <v>0</v>
      </c>
      <c r="S33" s="40">
        <f>R33*G40</f>
        <v>0</v>
      </c>
      <c r="T33" s="40"/>
      <c r="U33" s="40"/>
      <c r="V33" s="40">
        <f t="shared" si="12"/>
        <v>0</v>
      </c>
    </row>
    <row r="34" spans="1:22" s="35" customFormat="1" ht="15" customHeight="1">
      <c r="A34" s="53"/>
      <c r="B34" s="51"/>
      <c r="C34" s="38" t="s">
        <v>71</v>
      </c>
      <c r="D34" s="38" t="s">
        <v>286</v>
      </c>
      <c r="E34" s="39">
        <f>설계요소!I27</f>
        <v>4</v>
      </c>
      <c r="F34" s="40">
        <f>설계요소!B20</f>
        <v>1</v>
      </c>
      <c r="G34" s="39"/>
      <c r="H34" s="39">
        <f>F34*E34*설계요소!C11</f>
        <v>20</v>
      </c>
      <c r="I34" s="39"/>
      <c r="J34" s="39">
        <f t="shared" si="14"/>
        <v>20</v>
      </c>
      <c r="O34" s="53"/>
      <c r="P34" s="44" t="s">
        <v>208</v>
      </c>
      <c r="Q34" s="44" t="s">
        <v>121</v>
      </c>
      <c r="R34" s="83">
        <f>설계요소!J34</f>
        <v>0</v>
      </c>
      <c r="S34" s="40">
        <f>R34*G41</f>
        <v>0</v>
      </c>
      <c r="T34" s="40">
        <f>R34*H41</f>
        <v>0</v>
      </c>
      <c r="U34" s="40">
        <f>R34*I41</f>
        <v>0</v>
      </c>
      <c r="V34" s="40">
        <f t="shared" si="12"/>
        <v>0</v>
      </c>
    </row>
    <row r="35" spans="1:22" s="35" customFormat="1" ht="15" customHeight="1">
      <c r="A35" s="53"/>
      <c r="B35" s="50" t="s">
        <v>16</v>
      </c>
      <c r="C35" s="38" t="s">
        <v>230</v>
      </c>
      <c r="D35" s="38" t="s">
        <v>75</v>
      </c>
      <c r="E35" s="39">
        <f>설계요소!I28</f>
        <v>3.33</v>
      </c>
      <c r="F35" s="40">
        <f>설계요소!B21</f>
        <v>1</v>
      </c>
      <c r="G35" s="39">
        <f>(E35*E36/100)*F35*설계요소!A4</f>
        <v>13.736250000000002</v>
      </c>
      <c r="H35" s="39"/>
      <c r="I35" s="39"/>
      <c r="J35" s="39">
        <f t="shared" si="14"/>
        <v>13.736250000000002</v>
      </c>
      <c r="O35" s="53"/>
      <c r="P35" s="44" t="s">
        <v>201</v>
      </c>
      <c r="Q35" s="44" t="s">
        <v>121</v>
      </c>
      <c r="R35" s="40"/>
      <c r="S35" s="40"/>
      <c r="T35" s="40"/>
      <c r="U35" s="40"/>
      <c r="V35" s="40">
        <f t="shared" si="12"/>
        <v>0</v>
      </c>
    </row>
    <row r="36" spans="1:22" s="35" customFormat="1" ht="15" customHeight="1">
      <c r="A36" s="53"/>
      <c r="B36" s="50"/>
      <c r="C36" s="38" t="s">
        <v>72</v>
      </c>
      <c r="D36" s="43" t="s">
        <v>288</v>
      </c>
      <c r="E36" s="39">
        <f>설계요소!I29</f>
        <v>82.5</v>
      </c>
      <c r="F36" s="40">
        <f>설계요소!B21</f>
        <v>1</v>
      </c>
      <c r="G36" s="39"/>
      <c r="H36" s="39">
        <f>(E36*설계요소!C10/50)*F36</f>
        <v>51.975000000000001</v>
      </c>
      <c r="I36" s="39"/>
      <c r="J36" s="39">
        <f t="shared" si="14"/>
        <v>51.975000000000001</v>
      </c>
      <c r="O36" s="54"/>
      <c r="P36" s="38" t="s">
        <v>79</v>
      </c>
      <c r="Q36" s="44" t="s">
        <v>121</v>
      </c>
      <c r="R36" s="40"/>
      <c r="S36" s="40">
        <f>SUM(S26:S35)</f>
        <v>66236.25</v>
      </c>
      <c r="T36" s="40">
        <f>SUM(T26:T35)</f>
        <v>51975</v>
      </c>
      <c r="U36" s="40">
        <f>SUM(U26:U35)</f>
        <v>0</v>
      </c>
      <c r="V36" s="40">
        <f>SUM(V26:V35)</f>
        <v>118211.25</v>
      </c>
    </row>
    <row r="37" spans="1:22" s="35" customFormat="1" ht="15" customHeight="1">
      <c r="A37" s="53"/>
      <c r="B37" s="49" t="s">
        <v>18</v>
      </c>
      <c r="C37" s="38" t="s">
        <v>74</v>
      </c>
      <c r="D37" s="38" t="s">
        <v>234</v>
      </c>
      <c r="E37" s="39">
        <f>설계요소!I30</f>
        <v>0.5</v>
      </c>
      <c r="F37" s="40"/>
      <c r="G37" s="39">
        <f>E37*기계경비!E19</f>
        <v>4</v>
      </c>
      <c r="H37" s="39">
        <f>E37*기계경비!F19</f>
        <v>12.74</v>
      </c>
      <c r="I37" s="39">
        <f>E37*기계경비!G19</f>
        <v>21.83</v>
      </c>
      <c r="J37" s="39">
        <f t="shared" si="14"/>
        <v>38.57</v>
      </c>
      <c r="O37" s="52" t="s">
        <v>77</v>
      </c>
      <c r="P37" s="38" t="s">
        <v>19</v>
      </c>
      <c r="Q37" s="44" t="s">
        <v>121</v>
      </c>
      <c r="R37" s="40">
        <f>설계요소!J35</f>
        <v>1000</v>
      </c>
      <c r="S37" s="40">
        <f>R37*G44</f>
        <v>2000</v>
      </c>
      <c r="T37" s="40">
        <f>R37*H45</f>
        <v>8712</v>
      </c>
      <c r="U37" s="40"/>
      <c r="V37" s="40">
        <f t="shared" ref="V37:V38" si="15">SUM(S37:U37)</f>
        <v>10712</v>
      </c>
    </row>
    <row r="38" spans="1:22" s="35" customFormat="1" ht="15" customHeight="1">
      <c r="A38" s="48"/>
      <c r="B38" s="49" t="s">
        <v>206</v>
      </c>
      <c r="C38" s="72" t="s">
        <v>230</v>
      </c>
      <c r="D38" s="38" t="s">
        <v>233</v>
      </c>
      <c r="E38" s="39">
        <f>설계요소!I31</f>
        <v>0.9</v>
      </c>
      <c r="F38" s="40"/>
      <c r="G38" s="39">
        <f>E38*설계요소!A4</f>
        <v>4.5</v>
      </c>
      <c r="H38" s="39"/>
      <c r="I38" s="39"/>
      <c r="J38" s="39">
        <f t="shared" si="14"/>
        <v>4.5</v>
      </c>
      <c r="O38" s="53" t="s">
        <v>78</v>
      </c>
      <c r="P38" s="38" t="s">
        <v>76</v>
      </c>
      <c r="Q38" s="44" t="s">
        <v>292</v>
      </c>
      <c r="R38" s="40">
        <f>설계요소!J37</f>
        <v>1</v>
      </c>
      <c r="S38" s="40">
        <f>R38*G46*26*12</f>
        <v>15600</v>
      </c>
      <c r="T38" s="40"/>
      <c r="U38" s="40"/>
      <c r="V38" s="40">
        <f t="shared" si="15"/>
        <v>15600</v>
      </c>
    </row>
    <row r="39" spans="1:22" s="35" customFormat="1" ht="15" customHeight="1">
      <c r="A39" s="48"/>
      <c r="B39" s="51"/>
      <c r="C39" s="38" t="s">
        <v>71</v>
      </c>
      <c r="D39" s="38" t="s">
        <v>240</v>
      </c>
      <c r="E39" s="39">
        <f>설계요소!I32</f>
        <v>0</v>
      </c>
      <c r="F39" s="40"/>
      <c r="G39" s="39"/>
      <c r="H39" s="39">
        <f>E39*설계요소!C11</f>
        <v>0</v>
      </c>
      <c r="I39" s="39"/>
      <c r="J39" s="39"/>
      <c r="O39" s="53"/>
      <c r="P39" s="44" t="s">
        <v>201</v>
      </c>
      <c r="Q39" s="44"/>
      <c r="R39" s="44"/>
      <c r="S39" s="44"/>
      <c r="T39" s="44"/>
      <c r="U39" s="44"/>
      <c r="V39" s="40">
        <f>SUM(S39:U39)</f>
        <v>0</v>
      </c>
    </row>
    <row r="40" spans="1:22" s="35" customFormat="1" ht="15" customHeight="1">
      <c r="A40" s="53"/>
      <c r="B40" s="51" t="s">
        <v>207</v>
      </c>
      <c r="C40" s="38" t="s">
        <v>230</v>
      </c>
      <c r="D40" s="38" t="s">
        <v>233</v>
      </c>
      <c r="E40" s="39">
        <f>설계요소!I33</f>
        <v>3.6</v>
      </c>
      <c r="F40" s="40"/>
      <c r="G40" s="39">
        <f>E40*설계요소!A4</f>
        <v>18</v>
      </c>
      <c r="H40" s="39"/>
      <c r="I40" s="39"/>
      <c r="J40" s="39">
        <f t="shared" si="14"/>
        <v>18</v>
      </c>
      <c r="O40" s="54"/>
      <c r="P40" s="38" t="s">
        <v>79</v>
      </c>
      <c r="Q40" s="44"/>
      <c r="R40" s="40"/>
      <c r="S40" s="40">
        <f>SUM(S37:S39)</f>
        <v>17600</v>
      </c>
      <c r="T40" s="40">
        <f>SUM(T37:T39)</f>
        <v>8712</v>
      </c>
      <c r="U40" s="40">
        <f>SUM(U37:U39)</f>
        <v>0</v>
      </c>
      <c r="V40" s="40">
        <f>SUM(V37:V39)</f>
        <v>26312</v>
      </c>
    </row>
    <row r="41" spans="1:22" s="35" customFormat="1" ht="15" customHeight="1">
      <c r="A41" s="53"/>
      <c r="B41" s="38" t="s">
        <v>208</v>
      </c>
      <c r="C41" s="38" t="s">
        <v>209</v>
      </c>
      <c r="D41" s="38" t="s">
        <v>235</v>
      </c>
      <c r="E41" s="39">
        <f>설계요소!I34</f>
        <v>3.7</v>
      </c>
      <c r="F41" s="40"/>
      <c r="G41" s="39">
        <f>E41*기계경비!E4</f>
        <v>22.200000000000003</v>
      </c>
      <c r="H41" s="39">
        <f>E41*기계경비!F4</f>
        <v>32.338000000000001</v>
      </c>
      <c r="I41" s="39">
        <f>E41*기계경비!G4</f>
        <v>28.268000000000001</v>
      </c>
      <c r="J41" s="39">
        <f t="shared" si="14"/>
        <v>82.806000000000012</v>
      </c>
      <c r="O41" s="113" t="s">
        <v>294</v>
      </c>
      <c r="P41" s="114"/>
      <c r="Q41" s="44"/>
      <c r="R41" s="40"/>
      <c r="S41" s="40">
        <f>S40+S36+S25+S18+S10</f>
        <v>208056.25</v>
      </c>
      <c r="T41" s="40">
        <f>T40+T36+T25+T18+T10</f>
        <v>296545</v>
      </c>
      <c r="U41" s="40">
        <f>U40+U36+U25+U18+U10</f>
        <v>882980</v>
      </c>
      <c r="V41" s="40">
        <f>V40+V36+V25+V18+V10</f>
        <v>1387581.25</v>
      </c>
    </row>
    <row r="42" spans="1:22" s="35" customFormat="1" ht="15" customHeight="1">
      <c r="A42" s="53"/>
      <c r="B42" s="38" t="s">
        <v>201</v>
      </c>
      <c r="C42" s="38"/>
      <c r="D42" s="38"/>
      <c r="E42" s="39"/>
      <c r="F42" s="40"/>
      <c r="G42" s="39"/>
      <c r="H42" s="39"/>
      <c r="I42" s="39"/>
      <c r="J42" s="39">
        <f t="shared" si="14"/>
        <v>0</v>
      </c>
      <c r="O42" s="52" t="s">
        <v>124</v>
      </c>
      <c r="P42" s="44" t="s">
        <v>122</v>
      </c>
      <c r="Q42" s="44"/>
      <c r="R42" s="40"/>
      <c r="S42" s="40"/>
      <c r="T42" s="40"/>
      <c r="U42" s="40"/>
      <c r="V42" s="40">
        <f>ROUND(S41*설계요소!D25,0)</f>
        <v>22054</v>
      </c>
    </row>
    <row r="43" spans="1:22" s="35" customFormat="1" ht="15" customHeight="1">
      <c r="A43" s="54"/>
      <c r="B43" s="49" t="s">
        <v>79</v>
      </c>
      <c r="C43" s="38"/>
      <c r="D43" s="38"/>
      <c r="E43" s="39"/>
      <c r="F43" s="40"/>
      <c r="G43" s="39">
        <f t="shared" ref="G43" si="16">SUM(G30:G42)</f>
        <v>131.93625</v>
      </c>
      <c r="H43" s="39">
        <f t="shared" ref="H43" si="17">SUM(H30:H42)</f>
        <v>117.053</v>
      </c>
      <c r="I43" s="39">
        <f t="shared" ref="I43" si="18">SUM(I30:I42)</f>
        <v>50.097999999999999</v>
      </c>
      <c r="J43" s="39">
        <f t="shared" ref="J43" si="19">SUM(J30:J42)</f>
        <v>299.08725000000004</v>
      </c>
      <c r="O43" s="53"/>
      <c r="P43" s="44" t="s">
        <v>123</v>
      </c>
      <c r="Q43" s="44"/>
      <c r="R43" s="40"/>
      <c r="S43" s="40"/>
      <c r="T43" s="40"/>
      <c r="U43" s="40"/>
      <c r="V43" s="40">
        <f>ROUND((S41+T41+U41+V42)*설계요소!D26,0)</f>
        <v>84578</v>
      </c>
    </row>
    <row r="44" spans="1:22" s="35" customFormat="1" ht="15" customHeight="1">
      <c r="A44" s="47" t="s">
        <v>77</v>
      </c>
      <c r="B44" s="49" t="s">
        <v>19</v>
      </c>
      <c r="C44" s="72" t="s">
        <v>230</v>
      </c>
      <c r="D44" s="38" t="s">
        <v>232</v>
      </c>
      <c r="E44" s="39">
        <f>설계요소!I35</f>
        <v>0.4</v>
      </c>
      <c r="F44" s="40"/>
      <c r="G44" s="39">
        <f>E44*설계요소!A4</f>
        <v>2</v>
      </c>
      <c r="H44" s="39"/>
      <c r="I44" s="39"/>
      <c r="J44" s="39">
        <f t="shared" ref="J44:J47" si="20">SUM(G44:I44)</f>
        <v>2</v>
      </c>
      <c r="O44" s="57"/>
      <c r="P44" s="56" t="s">
        <v>145</v>
      </c>
      <c r="Q44" s="44"/>
      <c r="R44" s="40"/>
      <c r="S44" s="40"/>
      <c r="T44" s="40"/>
      <c r="U44" s="40"/>
      <c r="V44" s="40">
        <f>(S41+V42)*설계요소!D27</f>
        <v>29914.3325</v>
      </c>
    </row>
    <row r="45" spans="1:22" s="35" customFormat="1" ht="15" customHeight="1">
      <c r="A45" s="48" t="s">
        <v>211</v>
      </c>
      <c r="B45" s="51"/>
      <c r="C45" s="72" t="s">
        <v>210</v>
      </c>
      <c r="D45" s="38" t="s">
        <v>240</v>
      </c>
      <c r="E45" s="39">
        <f>설계요소!I36</f>
        <v>1.8</v>
      </c>
      <c r="F45" s="40"/>
      <c r="G45" s="39"/>
      <c r="H45" s="39">
        <f>E45*설계요소!C15</f>
        <v>8.7119999999999997</v>
      </c>
      <c r="I45" s="39"/>
      <c r="J45" s="39">
        <f t="shared" si="20"/>
        <v>8.7119999999999997</v>
      </c>
      <c r="O45" s="119" t="s">
        <v>125</v>
      </c>
      <c r="P45" s="120"/>
      <c r="Q45" s="44"/>
      <c r="R45" s="40"/>
      <c r="S45" s="40"/>
      <c r="T45" s="40"/>
      <c r="U45" s="40"/>
      <c r="V45" s="40">
        <f>V44+V43+V42+V41</f>
        <v>1524127.5825</v>
      </c>
    </row>
    <row r="46" spans="1:22" s="35" customFormat="1" ht="15" customHeight="1">
      <c r="A46" s="53" t="s">
        <v>212</v>
      </c>
      <c r="B46" s="51" t="s">
        <v>76</v>
      </c>
      <c r="C46" s="38" t="s">
        <v>230</v>
      </c>
      <c r="D46" s="38" t="s">
        <v>291</v>
      </c>
      <c r="E46" s="39">
        <f>설계요소!I37</f>
        <v>10</v>
      </c>
      <c r="F46" s="40"/>
      <c r="G46" s="39">
        <f>E46*설계요소!A4</f>
        <v>50</v>
      </c>
      <c r="H46" s="39"/>
      <c r="I46" s="39"/>
      <c r="J46" s="39">
        <f t="shared" si="20"/>
        <v>50</v>
      </c>
      <c r="O46" s="35" t="s">
        <v>126</v>
      </c>
      <c r="P46" s="76"/>
      <c r="Q46" s="76"/>
      <c r="R46" s="76"/>
      <c r="S46" s="76"/>
      <c r="T46" s="76"/>
      <c r="U46" s="106" t="s">
        <v>293</v>
      </c>
      <c r="V46" s="105">
        <f>V45/1000</f>
        <v>1524.1275825</v>
      </c>
    </row>
    <row r="47" spans="1:22" s="35" customFormat="1" ht="15" customHeight="1">
      <c r="A47" s="53"/>
      <c r="B47" s="51" t="s">
        <v>201</v>
      </c>
      <c r="C47" s="38"/>
      <c r="D47" s="38"/>
      <c r="E47" s="39"/>
      <c r="F47" s="40"/>
      <c r="G47" s="39"/>
      <c r="H47" s="39"/>
      <c r="I47" s="39"/>
      <c r="J47" s="39">
        <f t="shared" si="20"/>
        <v>0</v>
      </c>
    </row>
    <row r="48" spans="1:22" s="35" customFormat="1" ht="15" customHeight="1">
      <c r="A48" s="54"/>
      <c r="B48" s="38" t="s">
        <v>79</v>
      </c>
      <c r="C48" s="44"/>
      <c r="D48" s="44"/>
      <c r="E48" s="44"/>
      <c r="F48" s="44"/>
      <c r="G48" s="45">
        <f t="shared" ref="G48" si="21">SUM(G44:G47)</f>
        <v>52</v>
      </c>
      <c r="H48" s="45">
        <f t="shared" ref="H48" si="22">SUM(H44:H47)</f>
        <v>8.7119999999999997</v>
      </c>
      <c r="I48" s="45">
        <f t="shared" ref="I48" si="23">SUM(I44:I47)</f>
        <v>0</v>
      </c>
      <c r="J48" s="45">
        <f t="shared" ref="J48" si="24">SUM(J44:J47)</f>
        <v>60.712000000000003</v>
      </c>
      <c r="V48" s="69"/>
    </row>
    <row r="49" spans="1:10" s="35" customFormat="1" ht="15" customHeight="1">
      <c r="A49"/>
      <c r="B49"/>
      <c r="C49"/>
      <c r="D49"/>
      <c r="E49"/>
      <c r="F49"/>
      <c r="G49"/>
      <c r="H49"/>
      <c r="I49"/>
      <c r="J49"/>
    </row>
    <row r="51" spans="1:10" ht="20.100000000000001" customHeight="1">
      <c r="I51" s="101"/>
    </row>
  </sheetData>
  <mergeCells count="5">
    <mergeCell ref="O45:P45"/>
    <mergeCell ref="A1:J1"/>
    <mergeCell ref="O1:V1"/>
    <mergeCell ref="C5:D5"/>
    <mergeCell ref="C25:D25"/>
  </mergeCells>
  <phoneticPr fontId="2" type="noConversion"/>
  <pageMargins left="0.48" right="0.25" top="0.55000000000000004" bottom="0.43307086614173229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topLeftCell="A19" workbookViewId="0">
      <selection activeCell="I16" sqref="I16"/>
    </sheetView>
  </sheetViews>
  <sheetFormatPr defaultRowHeight="20.100000000000001" customHeight="1"/>
  <cols>
    <col min="1" max="1" width="8.5" style="76" bestFit="1" customWidth="1"/>
    <col min="2" max="2" width="13.125" style="76" customWidth="1"/>
    <col min="3" max="3" width="7.375" style="76" customWidth="1"/>
    <col min="4" max="4" width="7.125" style="76" customWidth="1"/>
    <col min="5" max="5" width="8.5" style="76" bestFit="1" customWidth="1"/>
    <col min="6" max="6" width="5" style="76" bestFit="1" customWidth="1"/>
    <col min="7" max="8" width="8.5" style="76" bestFit="1" customWidth="1"/>
    <col min="9" max="9" width="9.5" style="76" bestFit="1" customWidth="1"/>
    <col min="10" max="10" width="11.625" style="76" bestFit="1" customWidth="1"/>
    <col min="11" max="11" width="0" style="76" hidden="1" customWidth="1"/>
    <col min="12" max="12" width="10.25" style="76" hidden="1" customWidth="1"/>
    <col min="13" max="13" width="0" style="76" hidden="1" customWidth="1"/>
    <col min="14" max="14" width="1.625" style="76" customWidth="1"/>
    <col min="15" max="15" width="8.5" style="76" bestFit="1" customWidth="1"/>
    <col min="16" max="16" width="16.125" style="76" bestFit="1" customWidth="1"/>
    <col min="17" max="18" width="9" style="76"/>
    <col min="19" max="20" width="9.375" style="76" bestFit="1" customWidth="1"/>
    <col min="21" max="21" width="11.25" style="76" bestFit="1" customWidth="1"/>
    <col min="22" max="22" width="12.125" style="76" customWidth="1"/>
    <col min="23" max="16384" width="9" style="76"/>
  </cols>
  <sheetData>
    <row r="1" spans="1:22" ht="25.5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O1" s="124" t="s">
        <v>120</v>
      </c>
      <c r="P1" s="124"/>
      <c r="Q1" s="124"/>
      <c r="R1" s="124"/>
      <c r="S1" s="124"/>
      <c r="T1" s="124"/>
      <c r="U1" s="124"/>
      <c r="V1" s="124"/>
    </row>
    <row r="2" spans="1:22" ht="14.25">
      <c r="A2" s="97" t="s">
        <v>367</v>
      </c>
      <c r="B2" s="97"/>
      <c r="C2" s="97"/>
      <c r="G2" s="77"/>
      <c r="H2" s="77"/>
      <c r="I2" s="77"/>
      <c r="J2" s="77"/>
      <c r="K2" s="77"/>
      <c r="L2" s="77"/>
      <c r="M2" s="77"/>
      <c r="N2" s="77"/>
      <c r="O2" s="97" t="str">
        <f>A2</f>
        <v>열대지역 속성수조림</v>
      </c>
      <c r="P2" s="97"/>
      <c r="Q2" s="97"/>
    </row>
    <row r="3" spans="1:22" s="35" customFormat="1" ht="15.95" customHeight="1">
      <c r="A3" s="95" t="s">
        <v>24</v>
      </c>
      <c r="B3" s="95" t="s">
        <v>0</v>
      </c>
      <c r="C3" s="36" t="s">
        <v>23</v>
      </c>
      <c r="D3" s="95" t="s">
        <v>20</v>
      </c>
      <c r="E3" s="95" t="s">
        <v>247</v>
      </c>
      <c r="F3" s="95" t="s">
        <v>70</v>
      </c>
      <c r="G3" s="95" t="s">
        <v>28</v>
      </c>
      <c r="H3" s="95" t="s">
        <v>29</v>
      </c>
      <c r="I3" s="95" t="s">
        <v>30</v>
      </c>
      <c r="J3" s="95" t="s">
        <v>64</v>
      </c>
      <c r="O3" s="95" t="s">
        <v>24</v>
      </c>
      <c r="P3" s="95" t="s">
        <v>0</v>
      </c>
      <c r="Q3" s="95" t="s">
        <v>20</v>
      </c>
      <c r="R3" s="95" t="s">
        <v>21</v>
      </c>
      <c r="S3" s="95" t="s">
        <v>28</v>
      </c>
      <c r="T3" s="95" t="s">
        <v>29</v>
      </c>
      <c r="U3" s="95" t="s">
        <v>30</v>
      </c>
      <c r="V3" s="95" t="s">
        <v>64</v>
      </c>
    </row>
    <row r="4" spans="1:22" s="35" customFormat="1" ht="15.95" customHeight="1">
      <c r="A4" s="47" t="s">
        <v>1</v>
      </c>
      <c r="B4" s="38" t="s">
        <v>2</v>
      </c>
      <c r="C4" s="38" t="s">
        <v>248</v>
      </c>
      <c r="D4" s="38" t="s">
        <v>22</v>
      </c>
      <c r="E4" s="39">
        <v>1</v>
      </c>
      <c r="F4" s="40"/>
      <c r="G4" s="39"/>
      <c r="H4" s="39"/>
      <c r="I4" s="39">
        <v>13.85</v>
      </c>
      <c r="J4" s="39">
        <f t="shared" ref="J4:J17" si="0">SUM(G4:I4)</f>
        <v>13.85</v>
      </c>
      <c r="L4" s="35" t="s">
        <v>80</v>
      </c>
      <c r="O4" s="52" t="s">
        <v>1</v>
      </c>
      <c r="P4" s="38" t="s">
        <v>2</v>
      </c>
      <c r="Q4" s="44" t="s">
        <v>22</v>
      </c>
      <c r="R4" s="82">
        <f>설계요소!U4</f>
        <v>40000</v>
      </c>
      <c r="S4" s="40"/>
      <c r="T4" s="40"/>
      <c r="U4" s="40">
        <f>ROUND(I4*R4,0)</f>
        <v>554000</v>
      </c>
      <c r="V4" s="40">
        <f>SUM(S4:U4)</f>
        <v>554000</v>
      </c>
    </row>
    <row r="5" spans="1:22" s="35" customFormat="1" ht="15.95" customHeight="1">
      <c r="A5" s="48"/>
      <c r="B5" s="38" t="s">
        <v>3</v>
      </c>
      <c r="C5" s="117" t="s">
        <v>194</v>
      </c>
      <c r="D5" s="118"/>
      <c r="E5" s="39">
        <v>1</v>
      </c>
      <c r="F5" s="40"/>
      <c r="G5" s="39"/>
      <c r="H5" s="39"/>
      <c r="I5" s="39">
        <f>ROUND(I4*0.1,2)</f>
        <v>1.39</v>
      </c>
      <c r="J5" s="39">
        <f t="shared" si="0"/>
        <v>1.39</v>
      </c>
      <c r="L5" s="35" t="s">
        <v>81</v>
      </c>
      <c r="O5" s="53"/>
      <c r="P5" s="38" t="s">
        <v>3</v>
      </c>
      <c r="Q5" s="44" t="s">
        <v>22</v>
      </c>
      <c r="R5" s="82">
        <f>설계요소!U5</f>
        <v>40000</v>
      </c>
      <c r="S5" s="40"/>
      <c r="T5" s="40"/>
      <c r="U5" s="40">
        <f>ROUND(I5*R5,0)</f>
        <v>55600</v>
      </c>
      <c r="V5" s="40">
        <f t="shared" ref="V5:V9" si="1">SUM(S5:U5)</f>
        <v>55600</v>
      </c>
    </row>
    <row r="6" spans="1:22" s="35" customFormat="1" ht="15.95" customHeight="1">
      <c r="A6" s="48"/>
      <c r="B6" s="38" t="s">
        <v>173</v>
      </c>
      <c r="C6" s="112" t="s">
        <v>25</v>
      </c>
      <c r="D6" s="38" t="s">
        <v>22</v>
      </c>
      <c r="E6" s="39">
        <v>1</v>
      </c>
      <c r="F6" s="40"/>
      <c r="G6" s="39"/>
      <c r="H6" s="39"/>
      <c r="I6" s="39">
        <v>1.36</v>
      </c>
      <c r="J6" s="39">
        <f t="shared" si="0"/>
        <v>1.36</v>
      </c>
      <c r="O6" s="53"/>
      <c r="P6" s="38" t="s">
        <v>173</v>
      </c>
      <c r="Q6" s="44" t="s">
        <v>22</v>
      </c>
      <c r="R6" s="82">
        <f>설계요소!U6</f>
        <v>0</v>
      </c>
      <c r="S6" s="40"/>
      <c r="T6" s="40"/>
      <c r="U6" s="40">
        <f t="shared" ref="U6:U9" si="2">ROUND(I6*R6,0)</f>
        <v>0</v>
      </c>
      <c r="V6" s="40">
        <f t="shared" si="1"/>
        <v>0</v>
      </c>
    </row>
    <row r="7" spans="1:22" s="35" customFormat="1" ht="15.95" customHeight="1">
      <c r="A7" s="48"/>
      <c r="B7" s="38" t="s">
        <v>172</v>
      </c>
      <c r="C7" s="112" t="s">
        <v>25</v>
      </c>
      <c r="D7" s="38" t="s">
        <v>22</v>
      </c>
      <c r="E7" s="39">
        <v>1</v>
      </c>
      <c r="F7" s="40"/>
      <c r="G7" s="39"/>
      <c r="H7" s="39"/>
      <c r="I7" s="39">
        <v>1.25</v>
      </c>
      <c r="J7" s="39">
        <f t="shared" si="0"/>
        <v>1.25</v>
      </c>
      <c r="O7" s="53"/>
      <c r="P7" s="38" t="s">
        <v>172</v>
      </c>
      <c r="Q7" s="44" t="s">
        <v>22</v>
      </c>
      <c r="R7" s="82">
        <f>설계요소!U7</f>
        <v>0</v>
      </c>
      <c r="S7" s="40"/>
      <c r="T7" s="40"/>
      <c r="U7" s="40">
        <f t="shared" si="2"/>
        <v>0</v>
      </c>
      <c r="V7" s="40">
        <f t="shared" si="1"/>
        <v>0</v>
      </c>
    </row>
    <row r="8" spans="1:22" s="35" customFormat="1" ht="15.95" customHeight="1">
      <c r="A8" s="48"/>
      <c r="B8" s="38" t="s">
        <v>144</v>
      </c>
      <c r="C8" s="112" t="s">
        <v>127</v>
      </c>
      <c r="D8" s="38" t="s">
        <v>232</v>
      </c>
      <c r="E8" s="39">
        <f>설계요소!T8</f>
        <v>0</v>
      </c>
      <c r="F8" s="40"/>
      <c r="G8" s="39">
        <f>E8*설계요소!L4</f>
        <v>0</v>
      </c>
      <c r="H8" s="39"/>
      <c r="I8" s="39">
        <v>0</v>
      </c>
      <c r="J8" s="39">
        <f t="shared" si="0"/>
        <v>0</v>
      </c>
      <c r="O8" s="53"/>
      <c r="P8" s="38" t="s">
        <v>144</v>
      </c>
      <c r="Q8" s="44" t="s">
        <v>22</v>
      </c>
      <c r="R8" s="82">
        <f>설계요소!U8</f>
        <v>1000</v>
      </c>
      <c r="S8" s="40">
        <f>G8*R8</f>
        <v>0</v>
      </c>
      <c r="T8" s="40"/>
      <c r="U8" s="40">
        <f t="shared" si="2"/>
        <v>0</v>
      </c>
      <c r="V8" s="40">
        <f t="shared" si="1"/>
        <v>0</v>
      </c>
    </row>
    <row r="9" spans="1:22" s="35" customFormat="1" ht="15.95" customHeight="1">
      <c r="A9" s="48"/>
      <c r="B9" s="38" t="s">
        <v>174</v>
      </c>
      <c r="C9" s="112"/>
      <c r="D9" s="38"/>
      <c r="E9" s="39"/>
      <c r="F9" s="40"/>
      <c r="G9" s="39"/>
      <c r="H9" s="39"/>
      <c r="I9" s="39">
        <v>0</v>
      </c>
      <c r="J9" s="39">
        <f t="shared" si="0"/>
        <v>0</v>
      </c>
      <c r="O9" s="53"/>
      <c r="P9" s="38" t="s">
        <v>174</v>
      </c>
      <c r="Q9" s="44" t="s">
        <v>22</v>
      </c>
      <c r="R9" s="82">
        <v>0</v>
      </c>
      <c r="S9" s="40"/>
      <c r="T9" s="40"/>
      <c r="U9" s="40">
        <f t="shared" si="2"/>
        <v>0</v>
      </c>
      <c r="V9" s="40">
        <f t="shared" si="1"/>
        <v>0</v>
      </c>
    </row>
    <row r="10" spans="1:22" s="35" customFormat="1" ht="15.95" customHeight="1">
      <c r="A10" s="48"/>
      <c r="B10" s="38" t="s">
        <v>79</v>
      </c>
      <c r="C10" s="38"/>
      <c r="D10" s="38"/>
      <c r="E10" s="39"/>
      <c r="F10" s="40"/>
      <c r="G10" s="39">
        <f t="shared" ref="G10:I10" si="3">SUM(G4:G9)</f>
        <v>0</v>
      </c>
      <c r="H10" s="39">
        <f t="shared" si="3"/>
        <v>0</v>
      </c>
      <c r="I10" s="39">
        <f t="shared" si="3"/>
        <v>17.850000000000001</v>
      </c>
      <c r="J10" s="39">
        <f>SUM(J4:J9)</f>
        <v>17.850000000000001</v>
      </c>
      <c r="O10" s="53"/>
      <c r="P10" s="38" t="s">
        <v>79</v>
      </c>
      <c r="Q10" s="44"/>
      <c r="R10" s="40"/>
      <c r="S10" s="40">
        <f>SUM(S4:S9)</f>
        <v>0</v>
      </c>
      <c r="T10" s="40">
        <f t="shared" ref="T10:V10" si="4">SUM(T4:T9)</f>
        <v>0</v>
      </c>
      <c r="U10" s="40">
        <f t="shared" si="4"/>
        <v>609600</v>
      </c>
      <c r="V10" s="40">
        <f t="shared" si="4"/>
        <v>609600</v>
      </c>
    </row>
    <row r="11" spans="1:22" s="35" customFormat="1" ht="15.95" customHeight="1">
      <c r="A11" s="52" t="s">
        <v>4</v>
      </c>
      <c r="B11" s="38" t="s">
        <v>5</v>
      </c>
      <c r="C11" s="38" t="s">
        <v>51</v>
      </c>
      <c r="D11" s="38" t="s">
        <v>232</v>
      </c>
      <c r="E11" s="39">
        <f>설계요소!T9</f>
        <v>4</v>
      </c>
      <c r="F11" s="40"/>
      <c r="G11" s="39">
        <f>E11*설계요소!M4</f>
        <v>24</v>
      </c>
      <c r="H11" s="39"/>
      <c r="I11" s="39"/>
      <c r="J11" s="39">
        <f t="shared" si="0"/>
        <v>24</v>
      </c>
      <c r="O11" s="52" t="s">
        <v>4</v>
      </c>
      <c r="P11" s="38" t="s">
        <v>5</v>
      </c>
      <c r="Q11" s="44" t="s">
        <v>121</v>
      </c>
      <c r="R11" s="40">
        <f>설계요소!U9</f>
        <v>1000</v>
      </c>
      <c r="S11" s="40">
        <f>R11*G11</f>
        <v>24000</v>
      </c>
      <c r="T11" s="40"/>
      <c r="U11" s="40">
        <f>ROUND(I11*R11,0)</f>
        <v>0</v>
      </c>
      <c r="V11" s="40">
        <f t="shared" ref="V11:V24" si="5">SUM(S11:U11)</f>
        <v>24000</v>
      </c>
    </row>
    <row r="12" spans="1:22" s="35" customFormat="1" ht="15.95" customHeight="1">
      <c r="A12" s="53"/>
      <c r="B12" s="38" t="s">
        <v>6</v>
      </c>
      <c r="C12" s="38" t="s">
        <v>26</v>
      </c>
      <c r="D12" s="38" t="s">
        <v>234</v>
      </c>
      <c r="E12" s="39">
        <f>설계요소!T10</f>
        <v>2</v>
      </c>
      <c r="F12" s="40"/>
      <c r="G12" s="39">
        <f>ROUND(E12*기계경비!E4,2)</f>
        <v>12</v>
      </c>
      <c r="H12" s="39">
        <f>ROUND(E12*기계경비!F4,2)</f>
        <v>17.48</v>
      </c>
      <c r="I12" s="39">
        <f>ROUND(E12*기계경비!G4,2)</f>
        <v>15.28</v>
      </c>
      <c r="J12" s="39">
        <f t="shared" si="0"/>
        <v>44.76</v>
      </c>
      <c r="O12" s="53"/>
      <c r="P12" s="38" t="s">
        <v>6</v>
      </c>
      <c r="Q12" s="44" t="s">
        <v>121</v>
      </c>
      <c r="R12" s="40">
        <f>설계요소!U10</f>
        <v>0</v>
      </c>
      <c r="S12" s="40">
        <f>ROUND(G12*$R$12,0)</f>
        <v>0</v>
      </c>
      <c r="T12" s="40">
        <f t="shared" ref="T12:U12" si="6">ROUND(H12*$R$12,0)</f>
        <v>0</v>
      </c>
      <c r="U12" s="40">
        <f t="shared" si="6"/>
        <v>0</v>
      </c>
      <c r="V12" s="40">
        <f t="shared" si="5"/>
        <v>0</v>
      </c>
    </row>
    <row r="13" spans="1:22" s="35" customFormat="1" ht="15.95" customHeight="1">
      <c r="A13" s="53"/>
      <c r="B13" s="38" t="s">
        <v>7</v>
      </c>
      <c r="C13" s="38" t="s">
        <v>127</v>
      </c>
      <c r="D13" s="38" t="s">
        <v>232</v>
      </c>
      <c r="E13" s="39">
        <f>설계요소!T11</f>
        <v>24</v>
      </c>
      <c r="F13" s="40"/>
      <c r="G13" s="39">
        <f>E13*설계요소!L4</f>
        <v>106.08</v>
      </c>
      <c r="H13" s="39"/>
      <c r="I13" s="39"/>
      <c r="J13" s="39">
        <f t="shared" si="0"/>
        <v>106.08</v>
      </c>
      <c r="O13" s="53"/>
      <c r="P13" s="38" t="s">
        <v>7</v>
      </c>
      <c r="Q13" s="44" t="s">
        <v>121</v>
      </c>
      <c r="R13" s="40">
        <f>설계요소!U11</f>
        <v>1000</v>
      </c>
      <c r="S13" s="40">
        <f>R13*G13</f>
        <v>106080</v>
      </c>
      <c r="T13" s="40"/>
      <c r="U13" s="40"/>
      <c r="V13" s="40">
        <f t="shared" si="5"/>
        <v>106080</v>
      </c>
    </row>
    <row r="14" spans="1:22" s="35" customFormat="1" ht="15.95" customHeight="1">
      <c r="A14" s="53"/>
      <c r="B14" s="38" t="s">
        <v>202</v>
      </c>
      <c r="C14" s="38" t="s">
        <v>127</v>
      </c>
      <c r="D14" s="38" t="s">
        <v>232</v>
      </c>
      <c r="E14" s="39">
        <f>설계요소!T12</f>
        <v>8</v>
      </c>
      <c r="F14" s="40"/>
      <c r="G14" s="39">
        <f>E14*설계요소!L4</f>
        <v>35.36</v>
      </c>
      <c r="H14" s="39"/>
      <c r="I14" s="39"/>
      <c r="J14" s="39">
        <f t="shared" si="0"/>
        <v>35.36</v>
      </c>
      <c r="O14" s="53"/>
      <c r="P14" s="38" t="s">
        <v>202</v>
      </c>
      <c r="Q14" s="44" t="s">
        <v>121</v>
      </c>
      <c r="R14" s="40">
        <f>설계요소!U12</f>
        <v>0</v>
      </c>
      <c r="S14" s="40">
        <f>R14*G14</f>
        <v>0</v>
      </c>
      <c r="T14" s="40"/>
      <c r="U14" s="40"/>
      <c r="V14" s="40">
        <f t="shared" si="5"/>
        <v>0</v>
      </c>
    </row>
    <row r="15" spans="1:22" s="35" customFormat="1" ht="15.95" customHeight="1">
      <c r="A15" s="53"/>
      <c r="B15" s="38" t="s">
        <v>8</v>
      </c>
      <c r="C15" s="38" t="s">
        <v>25</v>
      </c>
      <c r="D15" s="38" t="s">
        <v>234</v>
      </c>
      <c r="E15" s="39">
        <f>설계요소!T13</f>
        <v>2</v>
      </c>
      <c r="F15" s="40"/>
      <c r="G15" s="39">
        <f>ROUND(E15*기계경비!E14,2)</f>
        <v>16</v>
      </c>
      <c r="H15" s="39">
        <f>ROUND(E15*기계경비!F14,2)</f>
        <v>139.38</v>
      </c>
      <c r="I15" s="39">
        <f>ROUND(E15*기계경비!G14,2)</f>
        <v>258.10000000000002</v>
      </c>
      <c r="J15" s="39">
        <f t="shared" si="0"/>
        <v>413.48</v>
      </c>
      <c r="O15" s="53"/>
      <c r="P15" s="38" t="s">
        <v>8</v>
      </c>
      <c r="Q15" s="44" t="s">
        <v>121</v>
      </c>
      <c r="R15" s="40">
        <f>설계요소!U13</f>
        <v>0</v>
      </c>
      <c r="S15" s="40">
        <f>ROUND(G15*$R$15,0)</f>
        <v>0</v>
      </c>
      <c r="T15" s="40">
        <f t="shared" ref="T15:U15" si="7">ROUND(H15*$R$15,0)</f>
        <v>0</v>
      </c>
      <c r="U15" s="40">
        <f t="shared" si="7"/>
        <v>0</v>
      </c>
      <c r="V15" s="40">
        <f t="shared" si="5"/>
        <v>0</v>
      </c>
    </row>
    <row r="16" spans="1:22" s="35" customFormat="1" ht="15.95" customHeight="1">
      <c r="A16" s="53"/>
      <c r="B16" s="38" t="s">
        <v>203</v>
      </c>
      <c r="C16" s="38" t="s">
        <v>106</v>
      </c>
      <c r="D16" s="38" t="s">
        <v>234</v>
      </c>
      <c r="E16" s="39">
        <f>설계요소!T14</f>
        <v>0.5</v>
      </c>
      <c r="F16" s="40"/>
      <c r="G16" s="39">
        <f>E16*기계경비!E19</f>
        <v>4</v>
      </c>
      <c r="H16" s="39">
        <f>E16*기계경비!F19</f>
        <v>12.74</v>
      </c>
      <c r="I16" s="39">
        <f>E16*기계경비!G19</f>
        <v>21.83</v>
      </c>
      <c r="J16" s="39">
        <f t="shared" si="0"/>
        <v>38.57</v>
      </c>
      <c r="O16" s="53"/>
      <c r="P16" s="38" t="s">
        <v>203</v>
      </c>
      <c r="Q16" s="44" t="s">
        <v>121</v>
      </c>
      <c r="R16" s="40">
        <f>설계요소!U14</f>
        <v>1000</v>
      </c>
      <c r="S16" s="40">
        <f>R16*G16</f>
        <v>4000</v>
      </c>
      <c r="T16" s="40">
        <f>R16*H16</f>
        <v>12740</v>
      </c>
      <c r="U16" s="40">
        <f>R16*I16</f>
        <v>21830</v>
      </c>
      <c r="V16" s="40">
        <f t="shared" si="5"/>
        <v>38570</v>
      </c>
    </row>
    <row r="17" spans="1:24" s="35" customFormat="1" ht="15.95" customHeight="1">
      <c r="A17" s="53"/>
      <c r="B17" s="38" t="s">
        <v>174</v>
      </c>
      <c r="C17" s="38"/>
      <c r="D17" s="38"/>
      <c r="E17" s="39"/>
      <c r="F17" s="40"/>
      <c r="G17" s="39"/>
      <c r="H17" s="39"/>
      <c r="I17" s="39"/>
      <c r="J17" s="39">
        <f t="shared" si="0"/>
        <v>0</v>
      </c>
      <c r="O17" s="53"/>
      <c r="P17" s="38" t="s">
        <v>174</v>
      </c>
      <c r="Q17" s="44" t="s">
        <v>121</v>
      </c>
      <c r="R17" s="40">
        <v>0</v>
      </c>
      <c r="S17" s="40"/>
      <c r="T17" s="40"/>
      <c r="U17" s="40"/>
      <c r="V17" s="40">
        <f t="shared" si="5"/>
        <v>0</v>
      </c>
    </row>
    <row r="18" spans="1:24" s="35" customFormat="1" ht="15.95" customHeight="1">
      <c r="A18" s="54"/>
      <c r="B18" s="38" t="s">
        <v>79</v>
      </c>
      <c r="C18" s="38"/>
      <c r="D18" s="38"/>
      <c r="E18" s="39"/>
      <c r="F18" s="40"/>
      <c r="G18" s="39">
        <f t="shared" ref="G18:I18" si="8">SUM(G11:G17)</f>
        <v>197.44</v>
      </c>
      <c r="H18" s="39">
        <f t="shared" si="8"/>
        <v>169.6</v>
      </c>
      <c r="I18" s="39">
        <f t="shared" si="8"/>
        <v>295.20999999999998</v>
      </c>
      <c r="J18" s="39">
        <f>SUM(J11:J17)</f>
        <v>662.25000000000011</v>
      </c>
      <c r="O18" s="54"/>
      <c r="P18" s="38" t="s">
        <v>79</v>
      </c>
      <c r="Q18" s="44"/>
      <c r="R18" s="40"/>
      <c r="S18" s="40">
        <f>SUM(S11:S17)</f>
        <v>134080</v>
      </c>
      <c r="T18" s="40">
        <f t="shared" ref="T18:V18" si="9">SUM(T11:T17)</f>
        <v>12740</v>
      </c>
      <c r="U18" s="40">
        <f t="shared" si="9"/>
        <v>21830</v>
      </c>
      <c r="V18" s="40">
        <f t="shared" si="9"/>
        <v>168650</v>
      </c>
    </row>
    <row r="19" spans="1:24" s="35" customFormat="1" ht="15.95" customHeight="1">
      <c r="A19" s="48" t="s">
        <v>9</v>
      </c>
      <c r="B19" s="49" t="s">
        <v>10</v>
      </c>
      <c r="C19" s="38" t="s">
        <v>127</v>
      </c>
      <c r="D19" s="38" t="s">
        <v>232</v>
      </c>
      <c r="E19" s="39">
        <f>설계요소!T15</f>
        <v>8</v>
      </c>
      <c r="F19" s="40"/>
      <c r="G19" s="39">
        <f>ROUND(E19*설계요소!L4,2)</f>
        <v>35.36</v>
      </c>
      <c r="H19" s="39"/>
      <c r="I19" s="39"/>
      <c r="J19" s="39">
        <f t="shared" ref="J19:J28" si="10">SUM(G19:I19)</f>
        <v>35.36</v>
      </c>
      <c r="O19" s="53" t="s">
        <v>9</v>
      </c>
      <c r="P19" s="38" t="s">
        <v>10</v>
      </c>
      <c r="Q19" s="44" t="s">
        <v>121</v>
      </c>
      <c r="R19" s="40">
        <f>설계요소!U15</f>
        <v>1000</v>
      </c>
      <c r="S19" s="40">
        <f>ROUND(G19*$R$19,0)</f>
        <v>35360</v>
      </c>
      <c r="T19" s="40"/>
      <c r="U19" s="40"/>
      <c r="V19" s="40">
        <f t="shared" si="5"/>
        <v>35360</v>
      </c>
      <c r="X19" s="102"/>
    </row>
    <row r="20" spans="1:24" s="35" customFormat="1" ht="15.95" customHeight="1">
      <c r="A20" s="48"/>
      <c r="B20" s="49" t="s">
        <v>176</v>
      </c>
      <c r="C20" s="72" t="s">
        <v>127</v>
      </c>
      <c r="D20" s="38" t="s">
        <v>75</v>
      </c>
      <c r="E20" s="39">
        <f>설계요소!T16</f>
        <v>4.5</v>
      </c>
      <c r="F20" s="40"/>
      <c r="G20" s="39">
        <f>(E20*E21/100)*설계요소!L4</f>
        <v>22.0779</v>
      </c>
      <c r="H20" s="39"/>
      <c r="I20" s="39"/>
      <c r="J20" s="39">
        <f t="shared" si="10"/>
        <v>22.0779</v>
      </c>
      <c r="O20" s="53"/>
      <c r="P20" s="38" t="s">
        <v>176</v>
      </c>
      <c r="Q20" s="44" t="s">
        <v>121</v>
      </c>
      <c r="R20" s="40">
        <f>설계요소!U16</f>
        <v>1000</v>
      </c>
      <c r="S20" s="40">
        <f>R20*G20</f>
        <v>22077.9</v>
      </c>
      <c r="T20" s="40">
        <f>R20*H21</f>
        <v>162237.6</v>
      </c>
      <c r="U20" s="40"/>
      <c r="V20" s="40">
        <f t="shared" si="5"/>
        <v>184315.5</v>
      </c>
    </row>
    <row r="21" spans="1:24" s="35" customFormat="1" ht="15.95" customHeight="1">
      <c r="A21" s="48"/>
      <c r="B21" s="51"/>
      <c r="C21" s="72" t="s">
        <v>72</v>
      </c>
      <c r="D21" s="43" t="s">
        <v>236</v>
      </c>
      <c r="E21" s="39">
        <f>설계요소!T17</f>
        <v>111</v>
      </c>
      <c r="F21" s="40"/>
      <c r="G21" s="39"/>
      <c r="H21" s="116">
        <f>E21*설계요소!N10/50</f>
        <v>162.23760000000001</v>
      </c>
      <c r="I21" s="39"/>
      <c r="J21" s="39">
        <f t="shared" si="10"/>
        <v>162.23760000000001</v>
      </c>
      <c r="O21" s="53"/>
      <c r="P21" s="38" t="s">
        <v>11</v>
      </c>
      <c r="Q21" s="44" t="s">
        <v>121</v>
      </c>
      <c r="R21" s="40">
        <f>설계요소!U18</f>
        <v>1000</v>
      </c>
      <c r="S21" s="40">
        <f>ROUND(G22*$R$21,0)</f>
        <v>31400</v>
      </c>
      <c r="T21" s="40">
        <f>ROUND(R21*(H23+H24),0)</f>
        <v>113220</v>
      </c>
      <c r="U21" s="40"/>
      <c r="V21" s="40">
        <f t="shared" si="5"/>
        <v>144620</v>
      </c>
    </row>
    <row r="22" spans="1:24" s="35" customFormat="1" ht="15.95" customHeight="1">
      <c r="A22" s="48"/>
      <c r="B22" s="50" t="s">
        <v>11</v>
      </c>
      <c r="C22" s="72" t="s">
        <v>127</v>
      </c>
      <c r="D22" s="38" t="s">
        <v>31</v>
      </c>
      <c r="E22" s="39">
        <f>설계요소!T18</f>
        <v>0.64</v>
      </c>
      <c r="F22" s="40"/>
      <c r="G22" s="39">
        <f>ROUND(E22*E23/100*설계요소!L4,2)</f>
        <v>31.4</v>
      </c>
      <c r="H22" s="39"/>
      <c r="I22" s="39"/>
      <c r="J22" s="39">
        <f t="shared" si="10"/>
        <v>31.4</v>
      </c>
      <c r="L22" s="35" t="s">
        <v>110</v>
      </c>
      <c r="O22" s="53"/>
      <c r="P22" s="38" t="s">
        <v>12</v>
      </c>
      <c r="Q22" s="44" t="s">
        <v>121</v>
      </c>
      <c r="R22" s="40">
        <f>R21</f>
        <v>1000</v>
      </c>
      <c r="S22" s="40">
        <f>R22*G25</f>
        <v>3140</v>
      </c>
      <c r="T22" s="40">
        <f>R22*H25</f>
        <v>10550</v>
      </c>
      <c r="U22" s="40"/>
      <c r="V22" s="40">
        <f t="shared" si="5"/>
        <v>13690</v>
      </c>
    </row>
    <row r="23" spans="1:24" s="35" customFormat="1" ht="15.95" customHeight="1">
      <c r="A23" s="48"/>
      <c r="B23" s="50"/>
      <c r="C23" s="72" t="s">
        <v>65</v>
      </c>
      <c r="D23" s="38" t="s">
        <v>237</v>
      </c>
      <c r="E23" s="40">
        <f>설계요소!T19</f>
        <v>1110</v>
      </c>
      <c r="F23" s="40"/>
      <c r="G23" s="39"/>
      <c r="H23" s="39">
        <f>E23*설계요소!N12</f>
        <v>105.45</v>
      </c>
      <c r="I23" s="39"/>
      <c r="J23" s="39">
        <f t="shared" si="10"/>
        <v>105.45</v>
      </c>
      <c r="O23" s="53"/>
      <c r="P23" s="44" t="s">
        <v>148</v>
      </c>
      <c r="Q23" s="44" t="s">
        <v>121</v>
      </c>
      <c r="R23" s="40">
        <f>설계요소!U21</f>
        <v>1000</v>
      </c>
      <c r="S23" s="40">
        <f>R23*G26</f>
        <v>4243.2</v>
      </c>
      <c r="T23" s="40">
        <f>R23*H27</f>
        <v>25000</v>
      </c>
      <c r="U23" s="40"/>
      <c r="V23" s="40">
        <f t="shared" si="5"/>
        <v>29243.200000000001</v>
      </c>
    </row>
    <row r="24" spans="1:24" s="35" customFormat="1" ht="15.95" customHeight="1">
      <c r="B24" s="54"/>
      <c r="C24" s="44" t="s">
        <v>142</v>
      </c>
      <c r="D24" s="44" t="s">
        <v>238</v>
      </c>
      <c r="E24" s="83">
        <f>E23</f>
        <v>1110</v>
      </c>
      <c r="F24" s="44"/>
      <c r="G24" s="44"/>
      <c r="H24" s="46">
        <f>E24*설계요소!N13/100</f>
        <v>7.77</v>
      </c>
      <c r="I24" s="44"/>
      <c r="J24" s="39">
        <f t="shared" si="10"/>
        <v>7.77</v>
      </c>
      <c r="O24" s="53"/>
      <c r="P24" s="44" t="s">
        <v>174</v>
      </c>
      <c r="Q24" s="44" t="s">
        <v>121</v>
      </c>
      <c r="R24" s="40"/>
      <c r="S24" s="40"/>
      <c r="T24" s="40"/>
      <c r="U24" s="40"/>
      <c r="V24" s="40">
        <f t="shared" si="5"/>
        <v>0</v>
      </c>
    </row>
    <row r="25" spans="1:24" s="35" customFormat="1" ht="15.95" customHeight="1">
      <c r="A25" s="48"/>
      <c r="B25" s="49" t="s">
        <v>12</v>
      </c>
      <c r="C25" s="125" t="s">
        <v>195</v>
      </c>
      <c r="D25" s="126"/>
      <c r="E25" s="39"/>
      <c r="F25" s="40"/>
      <c r="G25" s="39">
        <f>ROUND(G22*0.1,2)</f>
        <v>3.14</v>
      </c>
      <c r="H25" s="39">
        <f>ROUND(H23*0.1,2)</f>
        <v>10.55</v>
      </c>
      <c r="I25" s="39"/>
      <c r="J25" s="39">
        <f t="shared" si="10"/>
        <v>13.690000000000001</v>
      </c>
      <c r="O25" s="53"/>
      <c r="P25" s="38" t="s">
        <v>79</v>
      </c>
      <c r="Q25" s="44"/>
      <c r="R25" s="40"/>
      <c r="S25" s="40">
        <f>SUM(S19:S24)</f>
        <v>96221.099999999991</v>
      </c>
      <c r="T25" s="40">
        <f t="shared" ref="T25:V25" si="11">SUM(T19:T24)</f>
        <v>311007.59999999998</v>
      </c>
      <c r="U25" s="40">
        <f t="shared" si="11"/>
        <v>0</v>
      </c>
      <c r="V25" s="40">
        <f t="shared" si="11"/>
        <v>407228.7</v>
      </c>
    </row>
    <row r="26" spans="1:24" s="35" customFormat="1" ht="15.95" customHeight="1">
      <c r="A26" s="48"/>
      <c r="B26" s="49" t="s">
        <v>148</v>
      </c>
      <c r="C26" s="41" t="s">
        <v>127</v>
      </c>
      <c r="D26" s="115" t="s">
        <v>231</v>
      </c>
      <c r="E26" s="39">
        <f>설계요소!T21</f>
        <v>0.96</v>
      </c>
      <c r="F26" s="40"/>
      <c r="G26" s="39">
        <f>E26*설계요소!L4</f>
        <v>4.2431999999999999</v>
      </c>
      <c r="H26" s="39"/>
      <c r="I26" s="39"/>
      <c r="J26" s="39">
        <f t="shared" si="10"/>
        <v>4.2431999999999999</v>
      </c>
      <c r="O26" s="52" t="s">
        <v>13</v>
      </c>
      <c r="P26" s="38" t="s">
        <v>14</v>
      </c>
      <c r="Q26" s="44" t="s">
        <v>121</v>
      </c>
      <c r="R26" s="40">
        <f>설계요소!U23</f>
        <v>1000</v>
      </c>
      <c r="S26" s="40">
        <f>R26*G30</f>
        <v>44200</v>
      </c>
      <c r="T26" s="40"/>
      <c r="U26" s="40"/>
      <c r="V26" s="40">
        <f>SUM(S26:U26)</f>
        <v>44200</v>
      </c>
    </row>
    <row r="27" spans="1:24" s="35" customFormat="1" ht="15.95" customHeight="1">
      <c r="A27" s="48"/>
      <c r="B27" s="51"/>
      <c r="C27" s="99" t="s">
        <v>150</v>
      </c>
      <c r="D27" s="43" t="s">
        <v>236</v>
      </c>
      <c r="E27" s="39">
        <f>설계요소!T22</f>
        <v>5</v>
      </c>
      <c r="F27" s="40"/>
      <c r="G27" s="39"/>
      <c r="H27" s="39">
        <f>E27*설계요소!N14</f>
        <v>25</v>
      </c>
      <c r="I27" s="39"/>
      <c r="J27" s="39">
        <f t="shared" si="10"/>
        <v>25</v>
      </c>
      <c r="O27" s="53"/>
      <c r="P27" s="38" t="s">
        <v>68</v>
      </c>
      <c r="Q27" s="44" t="s">
        <v>121</v>
      </c>
      <c r="R27" s="40">
        <f>설계요소!U25</f>
        <v>1000</v>
      </c>
      <c r="S27" s="40">
        <f>R27*G31</f>
        <v>0</v>
      </c>
      <c r="T27" s="40"/>
      <c r="U27" s="40"/>
      <c r="V27" s="40">
        <f t="shared" ref="V27:V34" si="12">SUM(S27:U27)</f>
        <v>0</v>
      </c>
    </row>
    <row r="28" spans="1:24" s="35" customFormat="1" ht="15.95" customHeight="1">
      <c r="A28" s="48"/>
      <c r="B28" s="51" t="s">
        <v>174</v>
      </c>
      <c r="C28" s="99"/>
      <c r="D28" s="43"/>
      <c r="E28" s="39"/>
      <c r="F28" s="40"/>
      <c r="G28" s="39"/>
      <c r="H28" s="39"/>
      <c r="I28" s="39"/>
      <c r="J28" s="39">
        <f t="shared" si="10"/>
        <v>0</v>
      </c>
      <c r="O28" s="53"/>
      <c r="P28" s="38" t="s">
        <v>17</v>
      </c>
      <c r="Q28" s="44" t="s">
        <v>121</v>
      </c>
      <c r="R28" s="40">
        <f>설계요소!U25</f>
        <v>1000</v>
      </c>
      <c r="S28" s="40">
        <f>R28*F32*G32</f>
        <v>15027.999999999998</v>
      </c>
      <c r="T28" s="40">
        <f>R28*H33*F33</f>
        <v>23080</v>
      </c>
      <c r="U28" s="40"/>
      <c r="V28" s="40">
        <f t="shared" si="12"/>
        <v>38108</v>
      </c>
    </row>
    <row r="29" spans="1:24" s="35" customFormat="1" ht="15.95" customHeight="1">
      <c r="A29" s="48"/>
      <c r="B29" s="51" t="s">
        <v>79</v>
      </c>
      <c r="C29" s="42"/>
      <c r="D29" s="38"/>
      <c r="E29" s="39"/>
      <c r="F29" s="40"/>
      <c r="G29" s="39">
        <f t="shared" ref="G29:I29" si="13">SUM(G19:G28)</f>
        <v>96.221099999999993</v>
      </c>
      <c r="H29" s="39">
        <f t="shared" si="13"/>
        <v>311.00760000000002</v>
      </c>
      <c r="I29" s="39">
        <f t="shared" si="13"/>
        <v>0</v>
      </c>
      <c r="J29" s="39">
        <f>SUM(J19:J28)</f>
        <v>407.2287</v>
      </c>
      <c r="O29" s="53"/>
      <c r="P29" s="38" t="s">
        <v>16</v>
      </c>
      <c r="Q29" s="44" t="s">
        <v>121</v>
      </c>
      <c r="R29" s="40">
        <f>설계요소!U27</f>
        <v>1000</v>
      </c>
      <c r="S29" s="40">
        <f>R29*G34</f>
        <v>23549.759999999995</v>
      </c>
      <c r="T29" s="40">
        <f>R29*H35</f>
        <v>233856</v>
      </c>
      <c r="U29" s="40"/>
      <c r="V29" s="40">
        <f t="shared" si="12"/>
        <v>257405.76</v>
      </c>
      <c r="X29" s="102"/>
    </row>
    <row r="30" spans="1:24" s="35" customFormat="1" ht="15.95" customHeight="1">
      <c r="A30" s="52" t="s">
        <v>13</v>
      </c>
      <c r="B30" s="38" t="s">
        <v>14</v>
      </c>
      <c r="C30" s="38" t="s">
        <v>127</v>
      </c>
      <c r="D30" s="38" t="s">
        <v>239</v>
      </c>
      <c r="E30" s="39">
        <f>설계요소!T23</f>
        <v>5</v>
      </c>
      <c r="F30" s="40">
        <f>설계요소!M19</f>
        <v>2</v>
      </c>
      <c r="G30" s="39">
        <f>E30*F30*설계요소!L4</f>
        <v>44.2</v>
      </c>
      <c r="H30" s="39"/>
      <c r="I30" s="39"/>
      <c r="J30" s="39">
        <f>SUM(G30:I30)</f>
        <v>44.2</v>
      </c>
      <c r="O30" s="53"/>
      <c r="P30" s="38" t="s">
        <v>18</v>
      </c>
      <c r="Q30" s="44" t="s">
        <v>121</v>
      </c>
      <c r="R30" s="40">
        <f>설계요소!U29</f>
        <v>1000</v>
      </c>
      <c r="S30" s="40">
        <f>R30*G36</f>
        <v>4000</v>
      </c>
      <c r="T30" s="40">
        <f>R30*H36</f>
        <v>12740</v>
      </c>
      <c r="U30" s="40">
        <f>R30*I36</f>
        <v>21830</v>
      </c>
      <c r="V30" s="40">
        <f t="shared" si="12"/>
        <v>38570</v>
      </c>
    </row>
    <row r="31" spans="1:24" s="35" customFormat="1" ht="15.95" customHeight="1">
      <c r="A31" s="53"/>
      <c r="B31" s="38" t="s">
        <v>68</v>
      </c>
      <c r="C31" s="38" t="s">
        <v>127</v>
      </c>
      <c r="D31" s="38" t="s">
        <v>239</v>
      </c>
      <c r="E31" s="39">
        <f>설계요소!T24</f>
        <v>2.5</v>
      </c>
      <c r="F31" s="66">
        <v>0</v>
      </c>
      <c r="G31" s="39">
        <f>E31*F31*설계요소!L4</f>
        <v>0</v>
      </c>
      <c r="H31" s="39"/>
      <c r="I31" s="39"/>
      <c r="J31" s="39">
        <f t="shared" ref="J31:J41" si="14">SUM(G31:I31)</f>
        <v>0</v>
      </c>
      <c r="O31" s="53"/>
      <c r="P31" s="38" t="s">
        <v>177</v>
      </c>
      <c r="Q31" s="44" t="s">
        <v>121</v>
      </c>
      <c r="R31" s="83">
        <f>설계요소!U30</f>
        <v>0</v>
      </c>
      <c r="S31" s="40">
        <f>R31*G37</f>
        <v>0</v>
      </c>
      <c r="T31" s="40">
        <f>R31*H38</f>
        <v>0</v>
      </c>
      <c r="U31" s="40"/>
      <c r="V31" s="40">
        <f t="shared" si="12"/>
        <v>0</v>
      </c>
    </row>
    <row r="32" spans="1:24" s="35" customFormat="1" ht="15.95" customHeight="1">
      <c r="A32" s="53"/>
      <c r="B32" s="49" t="s">
        <v>17</v>
      </c>
      <c r="C32" s="38" t="s">
        <v>127</v>
      </c>
      <c r="D32" s="38" t="s">
        <v>239</v>
      </c>
      <c r="E32" s="39">
        <f>설계요소!T25</f>
        <v>3.4</v>
      </c>
      <c r="F32" s="40">
        <f>설계요소!M20</f>
        <v>1</v>
      </c>
      <c r="G32" s="39">
        <f>E32*F32*설계요소!L4</f>
        <v>15.027999999999999</v>
      </c>
      <c r="H32" s="39"/>
      <c r="I32" s="39"/>
      <c r="J32" s="39">
        <f t="shared" si="14"/>
        <v>15.027999999999999</v>
      </c>
      <c r="O32" s="53"/>
      <c r="P32" s="38" t="s">
        <v>179</v>
      </c>
      <c r="Q32" s="44" t="s">
        <v>121</v>
      </c>
      <c r="R32" s="83">
        <f>설계요소!U32</f>
        <v>0</v>
      </c>
      <c r="S32" s="40">
        <f>R32*G39</f>
        <v>0</v>
      </c>
      <c r="T32" s="40"/>
      <c r="U32" s="40"/>
      <c r="V32" s="40">
        <f t="shared" si="12"/>
        <v>0</v>
      </c>
    </row>
    <row r="33" spans="1:22" s="35" customFormat="1" ht="15.95" customHeight="1">
      <c r="A33" s="53"/>
      <c r="B33" s="51"/>
      <c r="C33" s="38" t="s">
        <v>71</v>
      </c>
      <c r="D33" s="38" t="s">
        <v>286</v>
      </c>
      <c r="E33" s="39">
        <f>설계요소!T26</f>
        <v>4</v>
      </c>
      <c r="F33" s="40">
        <f>설계요소!M20</f>
        <v>1</v>
      </c>
      <c r="G33" s="39"/>
      <c r="H33" s="39">
        <f>F33*E33*설계요소!N11</f>
        <v>23.08</v>
      </c>
      <c r="I33" s="39"/>
      <c r="J33" s="39">
        <f t="shared" si="14"/>
        <v>23.08</v>
      </c>
      <c r="O33" s="53"/>
      <c r="P33" s="44" t="s">
        <v>208</v>
      </c>
      <c r="Q33" s="44" t="s">
        <v>121</v>
      </c>
      <c r="R33" s="83">
        <f>설계요소!U33</f>
        <v>0</v>
      </c>
      <c r="S33" s="40">
        <f>R33*G40</f>
        <v>0</v>
      </c>
      <c r="T33" s="40">
        <f>R33*H40</f>
        <v>0</v>
      </c>
      <c r="U33" s="40">
        <f>R33*I40</f>
        <v>0</v>
      </c>
      <c r="V33" s="40">
        <f t="shared" si="12"/>
        <v>0</v>
      </c>
    </row>
    <row r="34" spans="1:22" s="35" customFormat="1" ht="15.95" customHeight="1">
      <c r="A34" s="53"/>
      <c r="B34" s="50" t="s">
        <v>16</v>
      </c>
      <c r="C34" s="38" t="s">
        <v>127</v>
      </c>
      <c r="D34" s="38" t="s">
        <v>75</v>
      </c>
      <c r="E34" s="39">
        <f>설계요소!T27</f>
        <v>3.33</v>
      </c>
      <c r="F34" s="40">
        <f>설계요소!M21</f>
        <v>2</v>
      </c>
      <c r="G34" s="39">
        <f>(E34*E35/100)*F34*설계요소!L4</f>
        <v>23.549759999999996</v>
      </c>
      <c r="H34" s="39"/>
      <c r="I34" s="39"/>
      <c r="J34" s="39">
        <f t="shared" si="14"/>
        <v>23.549759999999996</v>
      </c>
      <c r="O34" s="53"/>
      <c r="P34" s="44" t="s">
        <v>174</v>
      </c>
      <c r="Q34" s="44" t="s">
        <v>121</v>
      </c>
      <c r="R34" s="40"/>
      <c r="S34" s="40"/>
      <c r="T34" s="40"/>
      <c r="U34" s="40"/>
      <c r="V34" s="40">
        <f t="shared" si="12"/>
        <v>0</v>
      </c>
    </row>
    <row r="35" spans="1:22" s="35" customFormat="1" ht="15.95" customHeight="1">
      <c r="A35" s="53"/>
      <c r="B35" s="50"/>
      <c r="C35" s="38" t="s">
        <v>72</v>
      </c>
      <c r="D35" s="43" t="s">
        <v>288</v>
      </c>
      <c r="E35" s="39">
        <f>설계요소!T28</f>
        <v>80</v>
      </c>
      <c r="F35" s="40">
        <f>설계요소!M21</f>
        <v>2</v>
      </c>
      <c r="G35" s="39"/>
      <c r="H35" s="39">
        <f>(E35*설계요소!N10/50)*F35</f>
        <v>233.85599999999999</v>
      </c>
      <c r="I35" s="39"/>
      <c r="J35" s="39">
        <f t="shared" si="14"/>
        <v>233.85599999999999</v>
      </c>
      <c r="O35" s="54"/>
      <c r="P35" s="38" t="s">
        <v>79</v>
      </c>
      <c r="Q35" s="44" t="s">
        <v>121</v>
      </c>
      <c r="R35" s="40"/>
      <c r="S35" s="40">
        <f>SUM(S26:S34)</f>
        <v>86777.76</v>
      </c>
      <c r="T35" s="40">
        <f t="shared" ref="T35:V35" si="15">SUM(T26:T34)</f>
        <v>269676</v>
      </c>
      <c r="U35" s="40">
        <f t="shared" si="15"/>
        <v>21830</v>
      </c>
      <c r="V35" s="40">
        <f t="shared" si="15"/>
        <v>378283.76</v>
      </c>
    </row>
    <row r="36" spans="1:22" s="35" customFormat="1" ht="15.95" customHeight="1">
      <c r="A36" s="53"/>
      <c r="B36" s="49" t="s">
        <v>18</v>
      </c>
      <c r="C36" s="38" t="s">
        <v>74</v>
      </c>
      <c r="D36" s="38" t="s">
        <v>234</v>
      </c>
      <c r="E36" s="39">
        <f>설계요소!T29</f>
        <v>0.5</v>
      </c>
      <c r="F36" s="40"/>
      <c r="G36" s="39">
        <f>E36*기계경비!E19</f>
        <v>4</v>
      </c>
      <c r="H36" s="39">
        <f>E36*기계경비!F19</f>
        <v>12.74</v>
      </c>
      <c r="I36" s="39">
        <f>E36*기계경비!G19</f>
        <v>21.83</v>
      </c>
      <c r="J36" s="39">
        <f t="shared" si="14"/>
        <v>38.57</v>
      </c>
      <c r="O36" s="52" t="s">
        <v>77</v>
      </c>
      <c r="P36" s="38" t="s">
        <v>19</v>
      </c>
      <c r="Q36" s="44" t="s">
        <v>121</v>
      </c>
      <c r="R36" s="40">
        <f>설계요소!U34</f>
        <v>1000</v>
      </c>
      <c r="S36" s="40">
        <f>R36*G43</f>
        <v>1768</v>
      </c>
      <c r="T36" s="40">
        <f>R36*H44</f>
        <v>8676</v>
      </c>
      <c r="U36" s="40"/>
      <c r="V36" s="40">
        <f t="shared" ref="V36:V37" si="16">SUM(S36:U36)</f>
        <v>10444</v>
      </c>
    </row>
    <row r="37" spans="1:22" s="35" customFormat="1" ht="15.95" customHeight="1">
      <c r="A37" s="48"/>
      <c r="B37" s="49" t="s">
        <v>177</v>
      </c>
      <c r="C37" s="72" t="s">
        <v>127</v>
      </c>
      <c r="D37" s="38" t="s">
        <v>232</v>
      </c>
      <c r="E37" s="39">
        <f>설계요소!T30</f>
        <v>0.9</v>
      </c>
      <c r="F37" s="40"/>
      <c r="G37" s="39">
        <f>E37*설계요소!L4</f>
        <v>3.9780000000000002</v>
      </c>
      <c r="H37" s="39"/>
      <c r="I37" s="39"/>
      <c r="J37" s="39">
        <f t="shared" si="14"/>
        <v>3.9780000000000002</v>
      </c>
      <c r="O37" s="53" t="s">
        <v>78</v>
      </c>
      <c r="P37" s="38" t="s">
        <v>76</v>
      </c>
      <c r="Q37" s="44" t="s">
        <v>292</v>
      </c>
      <c r="R37" s="40">
        <f>설계요소!U36</f>
        <v>1</v>
      </c>
      <c r="S37" s="40">
        <f>R37*G45*26*12</f>
        <v>13790.400000000001</v>
      </c>
      <c r="T37" s="40"/>
      <c r="U37" s="40"/>
      <c r="V37" s="40">
        <f t="shared" si="16"/>
        <v>13790.400000000001</v>
      </c>
    </row>
    <row r="38" spans="1:22" s="35" customFormat="1" ht="15.95" customHeight="1">
      <c r="A38" s="48"/>
      <c r="B38" s="51"/>
      <c r="C38" s="38" t="s">
        <v>71</v>
      </c>
      <c r="D38" s="38" t="s">
        <v>240</v>
      </c>
      <c r="E38" s="39">
        <f>설계요소!T31</f>
        <v>0</v>
      </c>
      <c r="F38" s="40"/>
      <c r="G38" s="39"/>
      <c r="H38" s="39">
        <f>E38*설계요소!N11</f>
        <v>0</v>
      </c>
      <c r="I38" s="39"/>
      <c r="J38" s="39"/>
      <c r="O38" s="53"/>
      <c r="P38" s="44" t="s">
        <v>174</v>
      </c>
      <c r="Q38" s="44"/>
      <c r="R38" s="44"/>
      <c r="S38" s="44"/>
      <c r="T38" s="44"/>
      <c r="U38" s="44"/>
      <c r="V38" s="40">
        <f>SUM(S38:U38)</f>
        <v>0</v>
      </c>
    </row>
    <row r="39" spans="1:22" s="35" customFormat="1" ht="15.95" customHeight="1">
      <c r="A39" s="53"/>
      <c r="B39" s="51" t="s">
        <v>179</v>
      </c>
      <c r="C39" s="38" t="s">
        <v>127</v>
      </c>
      <c r="D39" s="38" t="s">
        <v>232</v>
      </c>
      <c r="E39" s="39">
        <f>설계요소!T32</f>
        <v>3.6</v>
      </c>
      <c r="F39" s="40"/>
      <c r="G39" s="39">
        <f>E39*설계요소!L4</f>
        <v>15.912000000000001</v>
      </c>
      <c r="H39" s="39"/>
      <c r="I39" s="39"/>
      <c r="J39" s="39">
        <f t="shared" si="14"/>
        <v>15.912000000000001</v>
      </c>
      <c r="O39" s="54"/>
      <c r="P39" s="38" t="s">
        <v>79</v>
      </c>
      <c r="Q39" s="44"/>
      <c r="R39" s="40"/>
      <c r="S39" s="40">
        <f>SUM(S36:S38)</f>
        <v>15558.400000000001</v>
      </c>
      <c r="T39" s="40">
        <f>SUM(T36:T38)</f>
        <v>8676</v>
      </c>
      <c r="U39" s="40">
        <f>SUM(U36:U38)</f>
        <v>0</v>
      </c>
      <c r="V39" s="40">
        <f>SUM(V36:V38)</f>
        <v>24234.400000000001</v>
      </c>
    </row>
    <row r="40" spans="1:22" s="35" customFormat="1" ht="15.95" customHeight="1">
      <c r="A40" s="53"/>
      <c r="B40" s="38" t="s">
        <v>208</v>
      </c>
      <c r="C40" s="38" t="s">
        <v>26</v>
      </c>
      <c r="D40" s="38" t="s">
        <v>234</v>
      </c>
      <c r="E40" s="39">
        <f>설계요소!T33</f>
        <v>3.7</v>
      </c>
      <c r="F40" s="40"/>
      <c r="G40" s="39">
        <f>E40*기계경비!E4</f>
        <v>22.200000000000003</v>
      </c>
      <c r="H40" s="39">
        <f>E40*기계경비!F4</f>
        <v>32.338000000000001</v>
      </c>
      <c r="I40" s="39">
        <f>E40*기계경비!G4</f>
        <v>28.268000000000001</v>
      </c>
      <c r="J40" s="39">
        <f t="shared" si="14"/>
        <v>82.806000000000012</v>
      </c>
      <c r="O40" s="119" t="s">
        <v>294</v>
      </c>
      <c r="P40" s="120"/>
      <c r="Q40" s="44"/>
      <c r="R40" s="40"/>
      <c r="S40" s="40">
        <f>S39+S35+S25+S18+S10</f>
        <v>332637.26</v>
      </c>
      <c r="T40" s="40">
        <f t="shared" ref="T40:V40" si="17">T39+T35+T25+T18+T10</f>
        <v>602099.6</v>
      </c>
      <c r="U40" s="40">
        <f t="shared" si="17"/>
        <v>653260</v>
      </c>
      <c r="V40" s="40">
        <f t="shared" si="17"/>
        <v>1587996.86</v>
      </c>
    </row>
    <row r="41" spans="1:22" s="35" customFormat="1" ht="15.95" customHeight="1">
      <c r="A41" s="53"/>
      <c r="B41" s="38" t="s">
        <v>174</v>
      </c>
      <c r="C41" s="38"/>
      <c r="D41" s="38"/>
      <c r="E41" s="39"/>
      <c r="F41" s="40"/>
      <c r="G41" s="39"/>
      <c r="H41" s="39"/>
      <c r="I41" s="39"/>
      <c r="J41" s="39">
        <f t="shared" si="14"/>
        <v>0</v>
      </c>
      <c r="O41" s="52" t="s">
        <v>124</v>
      </c>
      <c r="P41" s="44" t="s">
        <v>122</v>
      </c>
      <c r="Q41" s="44"/>
      <c r="R41" s="40"/>
      <c r="S41" s="40"/>
      <c r="T41" s="40"/>
      <c r="U41" s="40"/>
      <c r="V41" s="40">
        <f>ROUND(S40*설계요소!O25,0)</f>
        <v>35260</v>
      </c>
    </row>
    <row r="42" spans="1:22" s="35" customFormat="1" ht="15.95" customHeight="1">
      <c r="A42" s="54"/>
      <c r="B42" s="49" t="s">
        <v>79</v>
      </c>
      <c r="C42" s="38"/>
      <c r="D42" s="38"/>
      <c r="E42" s="39"/>
      <c r="F42" s="40"/>
      <c r="G42" s="39">
        <f t="shared" ref="G42" si="18">SUM(G30:G41)</f>
        <v>128.86776</v>
      </c>
      <c r="H42" s="39">
        <f t="shared" ref="H42:J42" si="19">SUM(H30:H41)</f>
        <v>302.01400000000001</v>
      </c>
      <c r="I42" s="39">
        <f t="shared" si="19"/>
        <v>50.097999999999999</v>
      </c>
      <c r="J42" s="39">
        <f t="shared" si="19"/>
        <v>480.97975999999994</v>
      </c>
      <c r="O42" s="53"/>
      <c r="P42" s="44" t="s">
        <v>112</v>
      </c>
      <c r="Q42" s="44"/>
      <c r="R42" s="40"/>
      <c r="S42" s="40"/>
      <c r="T42" s="40"/>
      <c r="U42" s="40"/>
      <c r="V42" s="40">
        <f>ROUND((S40+T40+U40+V41)*설계요소!O26,0)</f>
        <v>97395</v>
      </c>
    </row>
    <row r="43" spans="1:22" s="35" customFormat="1" ht="15.95" customHeight="1">
      <c r="A43" s="47" t="s">
        <v>77</v>
      </c>
      <c r="B43" s="49" t="s">
        <v>19</v>
      </c>
      <c r="C43" s="72" t="s">
        <v>127</v>
      </c>
      <c r="D43" s="38" t="s">
        <v>232</v>
      </c>
      <c r="E43" s="39">
        <f>설계요소!T34</f>
        <v>0.4</v>
      </c>
      <c r="F43" s="40"/>
      <c r="G43" s="39">
        <f>E43*설계요소!L4</f>
        <v>1.768</v>
      </c>
      <c r="H43" s="39"/>
      <c r="I43" s="39"/>
      <c r="J43" s="39">
        <f t="shared" ref="J43:J46" si="20">SUM(G43:I43)</f>
        <v>1.768</v>
      </c>
      <c r="O43" s="57"/>
      <c r="P43" s="56" t="s">
        <v>139</v>
      </c>
      <c r="Q43" s="44"/>
      <c r="R43" s="40"/>
      <c r="S43" s="40"/>
      <c r="T43" s="40"/>
      <c r="U43" s="40"/>
      <c r="V43" s="40">
        <f>(S40+V41)*설계요소!O27</f>
        <v>47826.643800000005</v>
      </c>
    </row>
    <row r="44" spans="1:22" s="35" customFormat="1" ht="15.95" customHeight="1">
      <c r="A44" s="48" t="s">
        <v>78</v>
      </c>
      <c r="B44" s="51"/>
      <c r="C44" s="72" t="s">
        <v>71</v>
      </c>
      <c r="D44" s="38" t="s">
        <v>240</v>
      </c>
      <c r="E44" s="39">
        <f>설계요소!T35</f>
        <v>1.8</v>
      </c>
      <c r="F44" s="40"/>
      <c r="G44" s="39"/>
      <c r="H44" s="39">
        <f>E44*설계요소!N15</f>
        <v>8.6760000000000002</v>
      </c>
      <c r="I44" s="39"/>
      <c r="J44" s="39">
        <f t="shared" si="20"/>
        <v>8.6760000000000002</v>
      </c>
      <c r="O44" s="119" t="s">
        <v>125</v>
      </c>
      <c r="P44" s="120"/>
      <c r="Q44" s="44"/>
      <c r="R44" s="40"/>
      <c r="S44" s="40"/>
      <c r="T44" s="40"/>
      <c r="U44" s="40"/>
      <c r="V44" s="40">
        <f>SUM(V40:V43)</f>
        <v>1768478.5038000001</v>
      </c>
    </row>
    <row r="45" spans="1:22" s="35" customFormat="1" ht="15.95" customHeight="1">
      <c r="A45" s="53" t="s">
        <v>212</v>
      </c>
      <c r="B45" s="51" t="s">
        <v>76</v>
      </c>
      <c r="C45" s="38" t="s">
        <v>127</v>
      </c>
      <c r="D45" s="38" t="s">
        <v>291</v>
      </c>
      <c r="E45" s="39">
        <f>설계요소!T36</f>
        <v>10</v>
      </c>
      <c r="F45" s="40"/>
      <c r="G45" s="39">
        <f>E45*설계요소!L4</f>
        <v>44.2</v>
      </c>
      <c r="H45" s="39"/>
      <c r="I45" s="39"/>
      <c r="J45" s="39">
        <f t="shared" si="20"/>
        <v>44.2</v>
      </c>
      <c r="O45" s="35" t="s">
        <v>126</v>
      </c>
      <c r="P45" s="76"/>
      <c r="Q45" s="76"/>
      <c r="R45" s="76"/>
      <c r="S45" s="76"/>
      <c r="T45" s="76"/>
      <c r="U45" s="106" t="s">
        <v>293</v>
      </c>
      <c r="V45" s="105">
        <f>V44/1000</f>
        <v>1768.4785038</v>
      </c>
    </row>
    <row r="46" spans="1:22" s="35" customFormat="1" ht="15.95" customHeight="1">
      <c r="A46" s="53"/>
      <c r="B46" s="51" t="s">
        <v>174</v>
      </c>
      <c r="C46" s="38"/>
      <c r="D46" s="38"/>
      <c r="E46" s="39"/>
      <c r="F46" s="40"/>
      <c r="G46" s="39"/>
      <c r="H46" s="39"/>
      <c r="I46" s="39"/>
      <c r="J46" s="39">
        <f t="shared" si="20"/>
        <v>0</v>
      </c>
    </row>
    <row r="47" spans="1:22" s="35" customFormat="1" ht="15.95" customHeight="1">
      <c r="A47" s="54"/>
      <c r="B47" s="38" t="s">
        <v>79</v>
      </c>
      <c r="C47" s="44"/>
      <c r="D47" s="44"/>
      <c r="E47" s="44"/>
      <c r="F47" s="44"/>
      <c r="G47" s="45">
        <f t="shared" ref="G47" si="21">SUM(G43:G46)</f>
        <v>45.968000000000004</v>
      </c>
      <c r="H47" s="45">
        <f t="shared" ref="H47:J47" si="22">SUM(H43:H46)</f>
        <v>8.6760000000000002</v>
      </c>
      <c r="I47" s="45">
        <f t="shared" si="22"/>
        <v>0</v>
      </c>
      <c r="J47" s="45">
        <f t="shared" si="22"/>
        <v>54.644000000000005</v>
      </c>
      <c r="V47" s="69"/>
    </row>
    <row r="48" spans="1:22" s="35" customFormat="1" ht="16.5">
      <c r="A48" s="75"/>
      <c r="B48" s="75"/>
      <c r="C48" s="75"/>
      <c r="D48" s="75"/>
      <c r="E48" s="75"/>
      <c r="F48" s="75"/>
      <c r="G48" s="75"/>
      <c r="H48" s="75"/>
      <c r="I48" s="75"/>
      <c r="J48" s="75"/>
      <c r="V48" s="69"/>
    </row>
    <row r="50" spans="9:9" ht="14.25">
      <c r="I50" s="101"/>
    </row>
  </sheetData>
  <mergeCells count="6">
    <mergeCell ref="O44:P44"/>
    <mergeCell ref="A1:J1"/>
    <mergeCell ref="O1:V1"/>
    <mergeCell ref="C5:D5"/>
    <mergeCell ref="C25:D25"/>
    <mergeCell ref="O40:P40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workbookViewId="0">
      <selection activeCell="E28" sqref="E28"/>
    </sheetView>
  </sheetViews>
  <sheetFormatPr defaultRowHeight="20.100000000000001" customHeight="1"/>
  <cols>
    <col min="1" max="1" width="8.5" style="76" bestFit="1" customWidth="1"/>
    <col min="2" max="2" width="13.125" style="76" customWidth="1"/>
    <col min="3" max="3" width="7.375" style="76" customWidth="1"/>
    <col min="4" max="4" width="7.125" style="76" customWidth="1"/>
    <col min="5" max="5" width="8.5" style="76" bestFit="1" customWidth="1"/>
    <col min="6" max="6" width="5" style="76" bestFit="1" customWidth="1"/>
    <col min="7" max="7" width="9.5" style="76" bestFit="1" customWidth="1"/>
    <col min="8" max="9" width="8.5" style="76" bestFit="1" customWidth="1"/>
    <col min="10" max="10" width="10.25" style="76" bestFit="1" customWidth="1"/>
    <col min="11" max="11" width="0" style="76" hidden="1" customWidth="1"/>
    <col min="12" max="12" width="10.25" style="76" hidden="1" customWidth="1"/>
    <col min="13" max="13" width="0" style="76" hidden="1" customWidth="1"/>
    <col min="14" max="14" width="1.625" style="76" customWidth="1"/>
    <col min="15" max="15" width="8.5" style="76" bestFit="1" customWidth="1"/>
    <col min="16" max="16" width="16.125" style="76" bestFit="1" customWidth="1"/>
    <col min="17" max="17" width="5" style="76" bestFit="1" customWidth="1"/>
    <col min="18" max="18" width="9" style="76"/>
    <col min="19" max="19" width="10.25" style="76" customWidth="1"/>
    <col min="20" max="21" width="11.25" style="76" bestFit="1" customWidth="1"/>
    <col min="22" max="22" width="12.125" style="76" customWidth="1"/>
    <col min="23" max="23" width="9" style="76"/>
    <col min="24" max="24" width="11.25" style="76" bestFit="1" customWidth="1"/>
    <col min="25" max="16384" width="9" style="76"/>
  </cols>
  <sheetData>
    <row r="1" spans="1:22" ht="30.75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O1" s="124" t="s">
        <v>120</v>
      </c>
      <c r="P1" s="124"/>
      <c r="Q1" s="124"/>
      <c r="R1" s="124"/>
      <c r="S1" s="124"/>
      <c r="T1" s="124"/>
      <c r="U1" s="124"/>
      <c r="V1" s="124"/>
    </row>
    <row r="2" spans="1:22" ht="15.75" customHeight="1">
      <c r="A2" s="97" t="s">
        <v>368</v>
      </c>
      <c r="B2" s="97"/>
      <c r="C2" s="97"/>
      <c r="G2" s="77"/>
      <c r="H2" s="77"/>
      <c r="I2" s="77"/>
      <c r="J2" s="77"/>
      <c r="K2" s="77"/>
      <c r="L2" s="77"/>
      <c r="M2" s="77"/>
      <c r="N2" s="77"/>
      <c r="O2" s="127" t="str">
        <f>A2</f>
        <v>팜 조림</v>
      </c>
      <c r="P2" s="127"/>
      <c r="Q2" s="127"/>
    </row>
    <row r="3" spans="1:22" s="35" customFormat="1" ht="15.95" customHeight="1">
      <c r="A3" s="95" t="s">
        <v>24</v>
      </c>
      <c r="B3" s="95" t="s">
        <v>0</v>
      </c>
      <c r="C3" s="36" t="s">
        <v>23</v>
      </c>
      <c r="D3" s="95" t="s">
        <v>20</v>
      </c>
      <c r="E3" s="95" t="s">
        <v>247</v>
      </c>
      <c r="F3" s="95" t="s">
        <v>70</v>
      </c>
      <c r="G3" s="95" t="s">
        <v>28</v>
      </c>
      <c r="H3" s="95" t="s">
        <v>29</v>
      </c>
      <c r="I3" s="95" t="s">
        <v>30</v>
      </c>
      <c r="J3" s="95" t="s">
        <v>64</v>
      </c>
      <c r="O3" s="95" t="s">
        <v>24</v>
      </c>
      <c r="P3" s="95" t="s">
        <v>0</v>
      </c>
      <c r="Q3" s="95" t="s">
        <v>20</v>
      </c>
      <c r="R3" s="95" t="s">
        <v>21</v>
      </c>
      <c r="S3" s="95" t="s">
        <v>28</v>
      </c>
      <c r="T3" s="95" t="s">
        <v>29</v>
      </c>
      <c r="U3" s="95" t="s">
        <v>30</v>
      </c>
      <c r="V3" s="95" t="s">
        <v>64</v>
      </c>
    </row>
    <row r="4" spans="1:22" s="35" customFormat="1" ht="15.95" customHeight="1">
      <c r="A4" s="47" t="s">
        <v>1</v>
      </c>
      <c r="B4" s="38" t="s">
        <v>2</v>
      </c>
      <c r="C4" s="38" t="s">
        <v>277</v>
      </c>
      <c r="D4" s="38" t="s">
        <v>22</v>
      </c>
      <c r="E4" s="39">
        <v>1</v>
      </c>
      <c r="F4" s="40"/>
      <c r="G4" s="39"/>
      <c r="H4" s="39"/>
      <c r="I4" s="39">
        <v>13.85</v>
      </c>
      <c r="J4" s="39">
        <f t="shared" ref="J4:J17" si="0">SUM(G4:I4)</f>
        <v>13.85</v>
      </c>
      <c r="L4" s="35" t="s">
        <v>80</v>
      </c>
      <c r="O4" s="52" t="s">
        <v>1</v>
      </c>
      <c r="P4" s="38" t="s">
        <v>2</v>
      </c>
      <c r="Q4" s="44" t="s">
        <v>22</v>
      </c>
      <c r="R4" s="82">
        <f>설계요소!AF4</f>
        <v>30000</v>
      </c>
      <c r="S4" s="40"/>
      <c r="T4" s="40"/>
      <c r="U4" s="40">
        <f>ROUND(I4*R4,0)</f>
        <v>415500</v>
      </c>
      <c r="V4" s="40">
        <f>SUM(S4:U4)</f>
        <v>415500</v>
      </c>
    </row>
    <row r="5" spans="1:22" s="35" customFormat="1" ht="15.95" customHeight="1">
      <c r="A5" s="48"/>
      <c r="B5" s="38" t="s">
        <v>3</v>
      </c>
      <c r="C5" s="117" t="s">
        <v>194</v>
      </c>
      <c r="D5" s="118"/>
      <c r="E5" s="39">
        <v>1</v>
      </c>
      <c r="F5" s="40"/>
      <c r="G5" s="39"/>
      <c r="H5" s="39"/>
      <c r="I5" s="39">
        <f>ROUND(I4*0.1,2)</f>
        <v>1.39</v>
      </c>
      <c r="J5" s="39">
        <f t="shared" si="0"/>
        <v>1.39</v>
      </c>
      <c r="L5" s="35" t="s">
        <v>81</v>
      </c>
      <c r="O5" s="53"/>
      <c r="P5" s="38" t="s">
        <v>3</v>
      </c>
      <c r="Q5" s="44" t="s">
        <v>22</v>
      </c>
      <c r="R5" s="82">
        <f>설계요소!AF5</f>
        <v>30000</v>
      </c>
      <c r="S5" s="40"/>
      <c r="T5" s="40"/>
      <c r="U5" s="40">
        <f>ROUND(I5*R5,0)</f>
        <v>41700</v>
      </c>
      <c r="V5" s="40">
        <f t="shared" ref="V5:V9" si="1">SUM(S5:U5)</f>
        <v>41700</v>
      </c>
    </row>
    <row r="6" spans="1:22" s="35" customFormat="1" ht="15.95" customHeight="1">
      <c r="A6" s="48"/>
      <c r="B6" s="38" t="s">
        <v>173</v>
      </c>
      <c r="C6" s="93" t="s">
        <v>213</v>
      </c>
      <c r="D6" s="38" t="s">
        <v>22</v>
      </c>
      <c r="E6" s="39">
        <v>1</v>
      </c>
      <c r="F6" s="40"/>
      <c r="G6" s="39"/>
      <c r="H6" s="39"/>
      <c r="I6" s="39">
        <v>1.36</v>
      </c>
      <c r="J6" s="39">
        <f t="shared" si="0"/>
        <v>1.36</v>
      </c>
      <c r="O6" s="53"/>
      <c r="P6" s="38" t="s">
        <v>173</v>
      </c>
      <c r="Q6" s="44" t="s">
        <v>22</v>
      </c>
      <c r="R6" s="82">
        <f>설계요소!AF6</f>
        <v>0</v>
      </c>
      <c r="S6" s="40"/>
      <c r="T6" s="40"/>
      <c r="U6" s="40">
        <f t="shared" ref="U6:U9" si="2">ROUND(I6*R6,0)</f>
        <v>0</v>
      </c>
      <c r="V6" s="40">
        <f t="shared" si="1"/>
        <v>0</v>
      </c>
    </row>
    <row r="7" spans="1:22" s="35" customFormat="1" ht="15.95" customHeight="1">
      <c r="A7" s="48"/>
      <c r="B7" s="38" t="s">
        <v>172</v>
      </c>
      <c r="C7" s="93" t="s">
        <v>213</v>
      </c>
      <c r="D7" s="38" t="s">
        <v>22</v>
      </c>
      <c r="E7" s="39">
        <v>1</v>
      </c>
      <c r="F7" s="40"/>
      <c r="G7" s="39"/>
      <c r="H7" s="39"/>
      <c r="I7" s="39">
        <v>1.25</v>
      </c>
      <c r="J7" s="39">
        <f t="shared" si="0"/>
        <v>1.25</v>
      </c>
      <c r="O7" s="53"/>
      <c r="P7" s="38" t="s">
        <v>172</v>
      </c>
      <c r="Q7" s="44" t="s">
        <v>22</v>
      </c>
      <c r="R7" s="82">
        <f>설계요소!AF7</f>
        <v>0</v>
      </c>
      <c r="S7" s="40"/>
      <c r="T7" s="40"/>
      <c r="U7" s="40">
        <f t="shared" si="2"/>
        <v>0</v>
      </c>
      <c r="V7" s="40">
        <f t="shared" si="1"/>
        <v>0</v>
      </c>
    </row>
    <row r="8" spans="1:22" s="35" customFormat="1" ht="15.95" customHeight="1">
      <c r="A8" s="48"/>
      <c r="B8" s="38" t="s">
        <v>144</v>
      </c>
      <c r="C8" s="93" t="s">
        <v>230</v>
      </c>
      <c r="D8" s="38" t="s">
        <v>232</v>
      </c>
      <c r="E8" s="39">
        <f>설계요소!AE8</f>
        <v>0</v>
      </c>
      <c r="F8" s="40"/>
      <c r="G8" s="39">
        <f>E8*설계요소!W4</f>
        <v>0</v>
      </c>
      <c r="H8" s="39"/>
      <c r="I8" s="39">
        <v>0</v>
      </c>
      <c r="J8" s="39">
        <f t="shared" si="0"/>
        <v>0</v>
      </c>
      <c r="O8" s="53"/>
      <c r="P8" s="38" t="s">
        <v>144</v>
      </c>
      <c r="Q8" s="44" t="s">
        <v>22</v>
      </c>
      <c r="R8" s="82">
        <f>설계요소!AF8</f>
        <v>0</v>
      </c>
      <c r="S8" s="40">
        <f>G8*R8</f>
        <v>0</v>
      </c>
      <c r="T8" s="40"/>
      <c r="U8" s="40">
        <f t="shared" si="2"/>
        <v>0</v>
      </c>
      <c r="V8" s="40">
        <f t="shared" si="1"/>
        <v>0</v>
      </c>
    </row>
    <row r="9" spans="1:22" s="35" customFormat="1" ht="15.95" customHeight="1">
      <c r="A9" s="48"/>
      <c r="B9" s="38" t="s">
        <v>201</v>
      </c>
      <c r="C9" s="93"/>
      <c r="D9" s="38"/>
      <c r="E9" s="39"/>
      <c r="F9" s="40"/>
      <c r="G9" s="39"/>
      <c r="H9" s="39"/>
      <c r="I9" s="39">
        <v>0</v>
      </c>
      <c r="J9" s="39">
        <f t="shared" si="0"/>
        <v>0</v>
      </c>
      <c r="O9" s="53"/>
      <c r="P9" s="38" t="s">
        <v>201</v>
      </c>
      <c r="Q9" s="44" t="s">
        <v>22</v>
      </c>
      <c r="R9" s="82">
        <v>0</v>
      </c>
      <c r="S9" s="40"/>
      <c r="T9" s="40"/>
      <c r="U9" s="40">
        <f t="shared" si="2"/>
        <v>0</v>
      </c>
      <c r="V9" s="40">
        <f t="shared" si="1"/>
        <v>0</v>
      </c>
    </row>
    <row r="10" spans="1:22" s="35" customFormat="1" ht="15.95" customHeight="1">
      <c r="A10" s="48"/>
      <c r="B10" s="38" t="s">
        <v>79</v>
      </c>
      <c r="C10" s="38"/>
      <c r="D10" s="38"/>
      <c r="E10" s="39"/>
      <c r="F10" s="40"/>
      <c r="G10" s="39">
        <f t="shared" ref="G10" si="3">SUM(G4:G9)</f>
        <v>0</v>
      </c>
      <c r="H10" s="39">
        <f t="shared" ref="H10" si="4">SUM(H4:H9)</f>
        <v>0</v>
      </c>
      <c r="I10" s="39">
        <f t="shared" ref="I10" si="5">SUM(I4:I9)</f>
        <v>17.850000000000001</v>
      </c>
      <c r="J10" s="39">
        <f t="shared" ref="J10" si="6">SUM(J4:J9)</f>
        <v>17.850000000000001</v>
      </c>
      <c r="O10" s="53"/>
      <c r="P10" s="38" t="s">
        <v>79</v>
      </c>
      <c r="Q10" s="44"/>
      <c r="R10" s="40"/>
      <c r="S10" s="40">
        <f>SUM(S4:S9)</f>
        <v>0</v>
      </c>
      <c r="T10" s="40">
        <f t="shared" ref="T10:V10" si="7">SUM(T4:T9)</f>
        <v>0</v>
      </c>
      <c r="U10" s="40">
        <f t="shared" si="7"/>
        <v>457200</v>
      </c>
      <c r="V10" s="40">
        <f t="shared" si="7"/>
        <v>457200</v>
      </c>
    </row>
    <row r="11" spans="1:22" s="35" customFormat="1" ht="15.95" customHeight="1">
      <c r="A11" s="52" t="s">
        <v>4</v>
      </c>
      <c r="B11" s="38" t="s">
        <v>5</v>
      </c>
      <c r="C11" s="38" t="s">
        <v>278</v>
      </c>
      <c r="D11" s="38" t="s">
        <v>232</v>
      </c>
      <c r="E11" s="39">
        <f>설계요소!AE9</f>
        <v>4</v>
      </c>
      <c r="F11" s="40"/>
      <c r="G11" s="39">
        <f>E11*설계요소!X4</f>
        <v>40</v>
      </c>
      <c r="H11" s="39"/>
      <c r="I11" s="39"/>
      <c r="J11" s="39">
        <f t="shared" si="0"/>
        <v>40</v>
      </c>
      <c r="O11" s="52" t="s">
        <v>4</v>
      </c>
      <c r="P11" s="38" t="s">
        <v>5</v>
      </c>
      <c r="Q11" s="44" t="s">
        <v>121</v>
      </c>
      <c r="R11" s="40">
        <f>설계요소!AF9</f>
        <v>600</v>
      </c>
      <c r="S11" s="40">
        <f>R11*G11</f>
        <v>24000</v>
      </c>
      <c r="T11" s="40"/>
      <c r="U11" s="40">
        <f>ROUND(I11*R11,0)</f>
        <v>0</v>
      </c>
      <c r="V11" s="40">
        <f t="shared" ref="V11:V24" si="8">SUM(S11:U11)</f>
        <v>24000</v>
      </c>
    </row>
    <row r="12" spans="1:22" s="35" customFormat="1" ht="15.95" customHeight="1">
      <c r="A12" s="53"/>
      <c r="B12" s="38" t="s">
        <v>6</v>
      </c>
      <c r="C12" s="38" t="s">
        <v>26</v>
      </c>
      <c r="D12" s="38" t="s">
        <v>234</v>
      </c>
      <c r="E12" s="39">
        <f>설계요소!AE10</f>
        <v>2</v>
      </c>
      <c r="F12" s="40"/>
      <c r="G12" s="39">
        <f>ROUND(E12*기계경비!E28,2)</f>
        <v>20</v>
      </c>
      <c r="H12" s="39">
        <f>ROUND(E12*기계경비!F28,2)</f>
        <v>17.48</v>
      </c>
      <c r="I12" s="39">
        <f>ROUND(E12*기계경비!G28,2)</f>
        <v>15.28</v>
      </c>
      <c r="J12" s="39">
        <f t="shared" si="0"/>
        <v>52.760000000000005</v>
      </c>
      <c r="O12" s="53"/>
      <c r="P12" s="38" t="s">
        <v>6</v>
      </c>
      <c r="Q12" s="44" t="s">
        <v>121</v>
      </c>
      <c r="R12" s="40">
        <f>설계요소!AF10</f>
        <v>0</v>
      </c>
      <c r="S12" s="40">
        <f>ROUND(G12*$R$12,0)</f>
        <v>0</v>
      </c>
      <c r="T12" s="40">
        <f t="shared" ref="T12:U12" si="9">ROUND(H12*$R$12,0)</f>
        <v>0</v>
      </c>
      <c r="U12" s="40">
        <f t="shared" si="9"/>
        <v>0</v>
      </c>
      <c r="V12" s="40">
        <f t="shared" si="8"/>
        <v>0</v>
      </c>
    </row>
    <row r="13" spans="1:22" s="35" customFormat="1" ht="15.95" customHeight="1">
      <c r="A13" s="53"/>
      <c r="B13" s="38" t="s">
        <v>7</v>
      </c>
      <c r="C13" s="38" t="s">
        <v>230</v>
      </c>
      <c r="D13" s="38" t="s">
        <v>232</v>
      </c>
      <c r="E13" s="39">
        <f>설계요소!AE11</f>
        <v>24</v>
      </c>
      <c r="F13" s="40"/>
      <c r="G13" s="39">
        <f>E13*설계요소!W4</f>
        <v>192</v>
      </c>
      <c r="H13" s="39"/>
      <c r="I13" s="39"/>
      <c r="J13" s="39">
        <f t="shared" si="0"/>
        <v>192</v>
      </c>
      <c r="O13" s="53"/>
      <c r="P13" s="38" t="s">
        <v>7</v>
      </c>
      <c r="Q13" s="44" t="s">
        <v>121</v>
      </c>
      <c r="R13" s="40">
        <f>설계요소!AF11</f>
        <v>600</v>
      </c>
      <c r="S13" s="40">
        <f>R13*G13</f>
        <v>115200</v>
      </c>
      <c r="T13" s="40"/>
      <c r="U13" s="40"/>
      <c r="V13" s="40">
        <f t="shared" si="8"/>
        <v>115200</v>
      </c>
    </row>
    <row r="14" spans="1:22" s="35" customFormat="1" ht="15.95" customHeight="1">
      <c r="A14" s="53"/>
      <c r="B14" s="38" t="s">
        <v>202</v>
      </c>
      <c r="C14" s="38" t="s">
        <v>230</v>
      </c>
      <c r="D14" s="38" t="s">
        <v>232</v>
      </c>
      <c r="E14" s="39">
        <f>설계요소!AE12</f>
        <v>8</v>
      </c>
      <c r="F14" s="40"/>
      <c r="G14" s="39">
        <f>E14*설계요소!W4</f>
        <v>64</v>
      </c>
      <c r="H14" s="39"/>
      <c r="I14" s="39"/>
      <c r="J14" s="39">
        <f t="shared" si="0"/>
        <v>64</v>
      </c>
      <c r="O14" s="53"/>
      <c r="P14" s="38" t="s">
        <v>202</v>
      </c>
      <c r="Q14" s="44" t="s">
        <v>214</v>
      </c>
      <c r="R14" s="40">
        <f>설계요소!AF12</f>
        <v>0</v>
      </c>
      <c r="S14" s="40">
        <f>R14*G14</f>
        <v>0</v>
      </c>
      <c r="T14" s="40"/>
      <c r="U14" s="40"/>
      <c r="V14" s="40">
        <f t="shared" si="8"/>
        <v>0</v>
      </c>
    </row>
    <row r="15" spans="1:22" s="35" customFormat="1" ht="15.95" customHeight="1">
      <c r="A15" s="53"/>
      <c r="B15" s="38" t="s">
        <v>8</v>
      </c>
      <c r="C15" s="38" t="s">
        <v>25</v>
      </c>
      <c r="D15" s="38" t="s">
        <v>234</v>
      </c>
      <c r="E15" s="39">
        <f>설계요소!AE13</f>
        <v>2</v>
      </c>
      <c r="F15" s="40"/>
      <c r="G15" s="39">
        <f>ROUND(E15*기계경비!E38,2)</f>
        <v>24</v>
      </c>
      <c r="H15" s="39">
        <f>ROUND(E15*기계경비!F38,2)</f>
        <v>139.38</v>
      </c>
      <c r="I15" s="39">
        <f>ROUND(E15*기계경비!G38,2)</f>
        <v>258.10000000000002</v>
      </c>
      <c r="J15" s="39">
        <f t="shared" si="0"/>
        <v>421.48</v>
      </c>
      <c r="O15" s="53"/>
      <c r="P15" s="38" t="s">
        <v>8</v>
      </c>
      <c r="Q15" s="44" t="s">
        <v>121</v>
      </c>
      <c r="R15" s="40">
        <f>설계요소!AF13</f>
        <v>0</v>
      </c>
      <c r="S15" s="40">
        <f>ROUND(G15*$R$15,0)</f>
        <v>0</v>
      </c>
      <c r="T15" s="40">
        <f t="shared" ref="T15:U15" si="10">ROUND(H15*$R$15,0)</f>
        <v>0</v>
      </c>
      <c r="U15" s="40">
        <f t="shared" si="10"/>
        <v>0</v>
      </c>
      <c r="V15" s="40">
        <f t="shared" si="8"/>
        <v>0</v>
      </c>
    </row>
    <row r="16" spans="1:22" s="35" customFormat="1" ht="15.95" customHeight="1">
      <c r="A16" s="53"/>
      <c r="B16" s="38" t="s">
        <v>203</v>
      </c>
      <c r="C16" s="38" t="s">
        <v>204</v>
      </c>
      <c r="D16" s="38" t="s">
        <v>235</v>
      </c>
      <c r="E16" s="39">
        <f>설계요소!AE14</f>
        <v>0.5</v>
      </c>
      <c r="F16" s="40"/>
      <c r="G16" s="39">
        <f>E16*기계경비!E43</f>
        <v>6</v>
      </c>
      <c r="H16" s="39">
        <f>E16*기계경비!F43</f>
        <v>12.74</v>
      </c>
      <c r="I16" s="39">
        <f>E16*기계경비!G43</f>
        <v>21.83</v>
      </c>
      <c r="J16" s="39">
        <f t="shared" si="0"/>
        <v>40.57</v>
      </c>
      <c r="O16" s="53"/>
      <c r="P16" s="38" t="s">
        <v>203</v>
      </c>
      <c r="Q16" s="44" t="s">
        <v>121</v>
      </c>
      <c r="R16" s="40">
        <f>설계요소!AF14</f>
        <v>0</v>
      </c>
      <c r="S16" s="40">
        <f>R16*G16</f>
        <v>0</v>
      </c>
      <c r="T16" s="40">
        <f>R16*H16</f>
        <v>0</v>
      </c>
      <c r="U16" s="40">
        <f>R16*I16</f>
        <v>0</v>
      </c>
      <c r="V16" s="40">
        <f t="shared" si="8"/>
        <v>0</v>
      </c>
    </row>
    <row r="17" spans="1:24" s="35" customFormat="1" ht="15.95" customHeight="1">
      <c r="A17" s="53"/>
      <c r="B17" s="38" t="s">
        <v>201</v>
      </c>
      <c r="C17" s="38"/>
      <c r="D17" s="38"/>
      <c r="E17" s="39"/>
      <c r="F17" s="40"/>
      <c r="G17" s="39"/>
      <c r="H17" s="39"/>
      <c r="I17" s="39"/>
      <c r="J17" s="39">
        <f t="shared" si="0"/>
        <v>0</v>
      </c>
      <c r="O17" s="53"/>
      <c r="P17" s="38" t="s">
        <v>201</v>
      </c>
      <c r="Q17" s="44" t="s">
        <v>121</v>
      </c>
      <c r="R17" s="40">
        <v>0</v>
      </c>
      <c r="S17" s="40"/>
      <c r="T17" s="40"/>
      <c r="U17" s="40"/>
      <c r="V17" s="40">
        <f t="shared" si="8"/>
        <v>0</v>
      </c>
    </row>
    <row r="18" spans="1:24" s="35" customFormat="1" ht="15.95" customHeight="1">
      <c r="A18" s="54"/>
      <c r="B18" s="38" t="s">
        <v>79</v>
      </c>
      <c r="C18" s="38"/>
      <c r="D18" s="38"/>
      <c r="E18" s="39"/>
      <c r="F18" s="40"/>
      <c r="G18" s="39">
        <f t="shared" ref="G18" si="11">SUM(G11:G17)</f>
        <v>346</v>
      </c>
      <c r="H18" s="39">
        <f t="shared" ref="H18" si="12">SUM(H11:H17)</f>
        <v>169.6</v>
      </c>
      <c r="I18" s="39">
        <f t="shared" ref="I18" si="13">SUM(I11:I17)</f>
        <v>295.20999999999998</v>
      </c>
      <c r="J18" s="39">
        <f t="shared" ref="J18" si="14">SUM(J11:J17)</f>
        <v>810.81000000000006</v>
      </c>
      <c r="O18" s="54"/>
      <c r="P18" s="38" t="s">
        <v>79</v>
      </c>
      <c r="Q18" s="44"/>
      <c r="R18" s="40"/>
      <c r="S18" s="40">
        <f>SUM(S11:S17)</f>
        <v>139200</v>
      </c>
      <c r="T18" s="40">
        <f t="shared" ref="T18:V18" si="15">SUM(T11:T17)</f>
        <v>0</v>
      </c>
      <c r="U18" s="40">
        <f t="shared" si="15"/>
        <v>0</v>
      </c>
      <c r="V18" s="40">
        <f t="shared" si="15"/>
        <v>139200</v>
      </c>
    </row>
    <row r="19" spans="1:24" s="35" customFormat="1" ht="15.95" customHeight="1">
      <c r="A19" s="48" t="s">
        <v>9</v>
      </c>
      <c r="B19" s="49" t="s">
        <v>10</v>
      </c>
      <c r="C19" s="38" t="s">
        <v>230</v>
      </c>
      <c r="D19" s="38" t="s">
        <v>232</v>
      </c>
      <c r="E19" s="39">
        <f>설계요소!AE15</f>
        <v>8</v>
      </c>
      <c r="F19" s="40"/>
      <c r="G19" s="39">
        <f>ROUND(E19*설계요소!W4,2)</f>
        <v>64</v>
      </c>
      <c r="H19" s="39"/>
      <c r="I19" s="39"/>
      <c r="J19" s="39">
        <f t="shared" ref="J19:J28" si="16">SUM(G19:I19)</f>
        <v>64</v>
      </c>
      <c r="O19" s="53" t="s">
        <v>9</v>
      </c>
      <c r="P19" s="38" t="s">
        <v>10</v>
      </c>
      <c r="Q19" s="44" t="s">
        <v>121</v>
      </c>
      <c r="R19" s="40">
        <f>설계요소!AF15</f>
        <v>600</v>
      </c>
      <c r="S19" s="40">
        <f>ROUND(G19*$R$19,0)</f>
        <v>38400</v>
      </c>
      <c r="T19" s="40"/>
      <c r="U19" s="40"/>
      <c r="V19" s="40">
        <f t="shared" si="8"/>
        <v>38400</v>
      </c>
      <c r="X19" s="102"/>
    </row>
    <row r="20" spans="1:24" s="35" customFormat="1" ht="15.95" customHeight="1">
      <c r="A20" s="48"/>
      <c r="B20" s="49" t="s">
        <v>205</v>
      </c>
      <c r="C20" s="72" t="s">
        <v>230</v>
      </c>
      <c r="D20" s="38" t="s">
        <v>285</v>
      </c>
      <c r="E20" s="39">
        <f>설계요소!AE16</f>
        <v>3</v>
      </c>
      <c r="F20" s="40"/>
      <c r="G20" s="39">
        <f>(E20*E21/100)*설계요소!W4</f>
        <v>26.64</v>
      </c>
      <c r="H20" s="39"/>
      <c r="I20" s="39"/>
      <c r="J20" s="39">
        <f t="shared" si="16"/>
        <v>26.64</v>
      </c>
      <c r="O20" s="53"/>
      <c r="P20" s="38" t="s">
        <v>205</v>
      </c>
      <c r="Q20" s="44" t="s">
        <v>121</v>
      </c>
      <c r="R20" s="40">
        <f>설계요소!AF16</f>
        <v>600</v>
      </c>
      <c r="S20" s="40">
        <f>R20*G20</f>
        <v>15984</v>
      </c>
      <c r="T20" s="40">
        <f>R20*H21</f>
        <v>53280</v>
      </c>
      <c r="U20" s="40"/>
      <c r="V20" s="40">
        <f t="shared" si="8"/>
        <v>69264</v>
      </c>
    </row>
    <row r="21" spans="1:24" s="35" customFormat="1" ht="15.95" customHeight="1">
      <c r="A21" s="48"/>
      <c r="B21" s="51"/>
      <c r="C21" s="72" t="s">
        <v>72</v>
      </c>
      <c r="D21" s="43" t="s">
        <v>236</v>
      </c>
      <c r="E21" s="39">
        <f>설계요소!AE17</f>
        <v>111</v>
      </c>
      <c r="F21" s="40"/>
      <c r="G21" s="39"/>
      <c r="H21" s="39">
        <f>E21*설계요소!Y10/50</f>
        <v>88.8</v>
      </c>
      <c r="I21" s="39"/>
      <c r="J21" s="39">
        <f t="shared" si="16"/>
        <v>88.8</v>
      </c>
      <c r="O21" s="53"/>
      <c r="P21" s="38" t="s">
        <v>11</v>
      </c>
      <c r="Q21" s="44" t="s">
        <v>121</v>
      </c>
      <c r="R21" s="40">
        <f>설계요소!AF18</f>
        <v>600</v>
      </c>
      <c r="S21" s="40">
        <f>ROUND(G22*$R$21,0)</f>
        <v>43680</v>
      </c>
      <c r="T21" s="40">
        <f>ROUND(R21*(H23+H24),0)</f>
        <v>336420</v>
      </c>
      <c r="U21" s="40"/>
      <c r="V21" s="40">
        <f t="shared" si="8"/>
        <v>380100</v>
      </c>
    </row>
    <row r="22" spans="1:24" s="35" customFormat="1" ht="15.95" customHeight="1">
      <c r="A22" s="48"/>
      <c r="B22" s="50" t="s">
        <v>11</v>
      </c>
      <c r="C22" s="72" t="s">
        <v>230</v>
      </c>
      <c r="D22" s="38" t="s">
        <v>31</v>
      </c>
      <c r="E22" s="39">
        <f>설계요소!AE18</f>
        <v>6.5</v>
      </c>
      <c r="F22" s="40"/>
      <c r="G22" s="39">
        <f>ROUND(E22*E23/100*설계요소!W4,2)</f>
        <v>72.8</v>
      </c>
      <c r="H22" s="39"/>
      <c r="I22" s="39"/>
      <c r="J22" s="39">
        <f t="shared" si="16"/>
        <v>72.8</v>
      </c>
      <c r="L22" s="35" t="s">
        <v>110</v>
      </c>
      <c r="O22" s="53"/>
      <c r="P22" s="38" t="s">
        <v>12</v>
      </c>
      <c r="Q22" s="44" t="s">
        <v>121</v>
      </c>
      <c r="R22" s="40">
        <f>R21</f>
        <v>600</v>
      </c>
      <c r="S22" s="40">
        <f>R22*G25</f>
        <v>4368</v>
      </c>
      <c r="T22" s="40">
        <f>R22*H25</f>
        <v>33600</v>
      </c>
      <c r="U22" s="40"/>
      <c r="V22" s="40">
        <f t="shared" si="8"/>
        <v>37968</v>
      </c>
    </row>
    <row r="23" spans="1:24" s="35" customFormat="1" ht="15.95" customHeight="1">
      <c r="A23" s="48"/>
      <c r="B23" s="50"/>
      <c r="C23" s="72" t="s">
        <v>65</v>
      </c>
      <c r="D23" s="38" t="s">
        <v>237</v>
      </c>
      <c r="E23" s="39">
        <f>설계요소!AE19</f>
        <v>140</v>
      </c>
      <c r="F23" s="40"/>
      <c r="G23" s="39"/>
      <c r="H23" s="39">
        <f>E23*설계요소!Y12</f>
        <v>560</v>
      </c>
      <c r="I23" s="39"/>
      <c r="J23" s="39">
        <f t="shared" si="16"/>
        <v>560</v>
      </c>
      <c r="O23" s="53"/>
      <c r="P23" s="44" t="s">
        <v>215</v>
      </c>
      <c r="Q23" s="44" t="s">
        <v>121</v>
      </c>
      <c r="R23" s="40">
        <f>설계요소!AF21</f>
        <v>600</v>
      </c>
      <c r="S23" s="40">
        <f>R23*G26</f>
        <v>4608</v>
      </c>
      <c r="T23" s="40">
        <f>R23*H27</f>
        <v>12000</v>
      </c>
      <c r="U23" s="40"/>
      <c r="V23" s="40">
        <f t="shared" si="8"/>
        <v>16608</v>
      </c>
    </row>
    <row r="24" spans="1:24" s="35" customFormat="1" ht="15.95" customHeight="1">
      <c r="B24" s="54"/>
      <c r="C24" s="44" t="s">
        <v>199</v>
      </c>
      <c r="D24" s="44" t="s">
        <v>238</v>
      </c>
      <c r="E24" s="39">
        <f>E23</f>
        <v>140</v>
      </c>
      <c r="F24" s="44"/>
      <c r="G24" s="44"/>
      <c r="H24" s="46">
        <f>E24*설계요소!Y13/100</f>
        <v>0.7</v>
      </c>
      <c r="I24" s="44"/>
      <c r="J24" s="39">
        <f t="shared" si="16"/>
        <v>0.7</v>
      </c>
      <c r="O24" s="53"/>
      <c r="P24" s="44" t="s">
        <v>201</v>
      </c>
      <c r="Q24" s="44" t="s">
        <v>121</v>
      </c>
      <c r="R24" s="40"/>
      <c r="S24" s="40"/>
      <c r="T24" s="40"/>
      <c r="U24" s="40"/>
      <c r="V24" s="40">
        <f t="shared" si="8"/>
        <v>0</v>
      </c>
    </row>
    <row r="25" spans="1:24" s="35" customFormat="1" ht="15.95" customHeight="1">
      <c r="A25" s="48"/>
      <c r="B25" s="49" t="s">
        <v>12</v>
      </c>
      <c r="C25" s="125" t="s">
        <v>195</v>
      </c>
      <c r="D25" s="126"/>
      <c r="E25" s="39"/>
      <c r="F25" s="40"/>
      <c r="G25" s="39">
        <f>ROUND(G22*0.1,2)</f>
        <v>7.28</v>
      </c>
      <c r="H25" s="39">
        <f>ROUND(H23*0.1,2)</f>
        <v>56</v>
      </c>
      <c r="I25" s="39"/>
      <c r="J25" s="39">
        <f t="shared" si="16"/>
        <v>63.28</v>
      </c>
      <c r="O25" s="53"/>
      <c r="P25" s="38" t="s">
        <v>79</v>
      </c>
      <c r="Q25" s="44"/>
      <c r="R25" s="40"/>
      <c r="S25" s="40">
        <f>SUM(S19:S24)</f>
        <v>107040</v>
      </c>
      <c r="T25" s="40">
        <f t="shared" ref="T25:V25" si="17">SUM(T19:T24)</f>
        <v>435300</v>
      </c>
      <c r="U25" s="40">
        <f t="shared" si="17"/>
        <v>0</v>
      </c>
      <c r="V25" s="40">
        <f t="shared" si="17"/>
        <v>542340</v>
      </c>
    </row>
    <row r="26" spans="1:24" s="35" customFormat="1" ht="15.95" customHeight="1">
      <c r="A26" s="48"/>
      <c r="B26" s="49" t="s">
        <v>148</v>
      </c>
      <c r="C26" s="41" t="s">
        <v>230</v>
      </c>
      <c r="D26" s="98" t="s">
        <v>231</v>
      </c>
      <c r="E26" s="39">
        <f>설계요소!AE21</f>
        <v>0.96</v>
      </c>
      <c r="F26" s="40"/>
      <c r="G26" s="39">
        <f>E26*설계요소!W4</f>
        <v>7.68</v>
      </c>
      <c r="H26" s="39"/>
      <c r="I26" s="39"/>
      <c r="J26" s="39">
        <f t="shared" si="16"/>
        <v>7.68</v>
      </c>
      <c r="O26" s="52" t="s">
        <v>13</v>
      </c>
      <c r="P26" s="38" t="s">
        <v>14</v>
      </c>
      <c r="Q26" s="44" t="s">
        <v>121</v>
      </c>
      <c r="R26" s="40">
        <f>설계요소!AF23</f>
        <v>600</v>
      </c>
      <c r="S26" s="40">
        <f>R26*G30</f>
        <v>72000</v>
      </c>
      <c r="T26" s="40"/>
      <c r="U26" s="40"/>
      <c r="V26" s="40">
        <f>SUM(S26:U26)</f>
        <v>72000</v>
      </c>
    </row>
    <row r="27" spans="1:24" s="35" customFormat="1" ht="15.95" customHeight="1">
      <c r="A27" s="48"/>
      <c r="B27" s="51"/>
      <c r="C27" s="99" t="s">
        <v>150</v>
      </c>
      <c r="D27" s="43" t="s">
        <v>236</v>
      </c>
      <c r="E27" s="39">
        <f>설계요소!AE22</f>
        <v>4</v>
      </c>
      <c r="F27" s="40"/>
      <c r="G27" s="39"/>
      <c r="H27" s="39">
        <f>E27*설계요소!Y14</f>
        <v>20</v>
      </c>
      <c r="I27" s="39"/>
      <c r="J27" s="39">
        <f t="shared" si="16"/>
        <v>20</v>
      </c>
      <c r="O27" s="53"/>
      <c r="P27" s="38" t="s">
        <v>68</v>
      </c>
      <c r="Q27" s="44" t="s">
        <v>121</v>
      </c>
      <c r="R27" s="40">
        <f>설계요소!AF24</f>
        <v>0</v>
      </c>
      <c r="S27" s="40">
        <f>R27*G31</f>
        <v>0</v>
      </c>
      <c r="T27" s="40"/>
      <c r="U27" s="40"/>
      <c r="V27" s="40">
        <f t="shared" ref="V27:V34" si="18">SUM(S27:U27)</f>
        <v>0</v>
      </c>
    </row>
    <row r="28" spans="1:24" s="35" customFormat="1" ht="15.95" customHeight="1">
      <c r="A28" s="48"/>
      <c r="B28" s="51" t="s">
        <v>201</v>
      </c>
      <c r="C28" s="99"/>
      <c r="D28" s="43"/>
      <c r="E28" s="39"/>
      <c r="F28" s="40"/>
      <c r="G28" s="39"/>
      <c r="H28" s="39"/>
      <c r="I28" s="39"/>
      <c r="J28" s="39">
        <f t="shared" si="16"/>
        <v>0</v>
      </c>
      <c r="O28" s="53"/>
      <c r="P28" s="38" t="s">
        <v>17</v>
      </c>
      <c r="Q28" s="44" t="s">
        <v>121</v>
      </c>
      <c r="R28" s="40">
        <f>설계요소!AF25</f>
        <v>600</v>
      </c>
      <c r="S28" s="40">
        <f>R28*G32</f>
        <v>48960</v>
      </c>
      <c r="T28" s="40">
        <f>R28*H33</f>
        <v>112500</v>
      </c>
      <c r="U28" s="40"/>
      <c r="V28" s="40">
        <f t="shared" si="18"/>
        <v>161460</v>
      </c>
    </row>
    <row r="29" spans="1:24" s="35" customFormat="1" ht="15.95" customHeight="1">
      <c r="A29" s="48"/>
      <c r="B29" s="51" t="s">
        <v>79</v>
      </c>
      <c r="C29" s="42"/>
      <c r="D29" s="38"/>
      <c r="E29" s="39"/>
      <c r="F29" s="40"/>
      <c r="G29" s="39">
        <f t="shared" ref="G29" si="19">SUM(G19:G28)</f>
        <v>178.4</v>
      </c>
      <c r="H29" s="39">
        <f t="shared" ref="H29" si="20">SUM(H19:H28)</f>
        <v>725.5</v>
      </c>
      <c r="I29" s="39">
        <f t="shared" ref="I29" si="21">SUM(I19:I28)</f>
        <v>0</v>
      </c>
      <c r="J29" s="39">
        <f t="shared" ref="J29" si="22">SUM(J19:J28)</f>
        <v>903.9</v>
      </c>
      <c r="O29" s="53"/>
      <c r="P29" s="38" t="s">
        <v>16</v>
      </c>
      <c r="Q29" s="44" t="s">
        <v>121</v>
      </c>
      <c r="R29" s="40">
        <f>설계요소!AF27</f>
        <v>600</v>
      </c>
      <c r="S29" s="40">
        <f>R29*G34</f>
        <v>83915.999999999985</v>
      </c>
      <c r="T29" s="40">
        <f>R29*H35</f>
        <v>252000</v>
      </c>
      <c r="U29" s="40"/>
      <c r="V29" s="40">
        <f t="shared" si="18"/>
        <v>335916</v>
      </c>
      <c r="X29" s="102"/>
    </row>
    <row r="30" spans="1:24" s="35" customFormat="1" ht="15.95" customHeight="1">
      <c r="A30" s="52" t="s">
        <v>13</v>
      </c>
      <c r="B30" s="38" t="s">
        <v>14</v>
      </c>
      <c r="C30" s="38" t="s">
        <v>230</v>
      </c>
      <c r="D30" s="38" t="s">
        <v>239</v>
      </c>
      <c r="E30" s="39">
        <f>설계요소!AE23</f>
        <v>5</v>
      </c>
      <c r="F30" s="40">
        <f>설계요소!X19</f>
        <v>3</v>
      </c>
      <c r="G30" s="39">
        <f>E30*F30*설계요소!W4</f>
        <v>120</v>
      </c>
      <c r="H30" s="39"/>
      <c r="I30" s="39"/>
      <c r="J30" s="39">
        <f>SUM(G30:I30)</f>
        <v>120</v>
      </c>
      <c r="O30" s="53"/>
      <c r="P30" s="38" t="s">
        <v>18</v>
      </c>
      <c r="Q30" s="44" t="s">
        <v>121</v>
      </c>
      <c r="R30" s="40">
        <f>설계요소!AF29</f>
        <v>0</v>
      </c>
      <c r="S30" s="40">
        <f>R30*G36</f>
        <v>0</v>
      </c>
      <c r="T30" s="40">
        <f>R30*H36</f>
        <v>0</v>
      </c>
      <c r="U30" s="40">
        <f>R30*I36</f>
        <v>0</v>
      </c>
      <c r="V30" s="40">
        <f t="shared" si="18"/>
        <v>0</v>
      </c>
    </row>
    <row r="31" spans="1:24" s="35" customFormat="1" ht="15.95" customHeight="1">
      <c r="A31" s="53"/>
      <c r="B31" s="38" t="s">
        <v>68</v>
      </c>
      <c r="C31" s="38" t="s">
        <v>230</v>
      </c>
      <c r="D31" s="38" t="s">
        <v>239</v>
      </c>
      <c r="E31" s="39">
        <f>설계요소!AE24</f>
        <v>2.5</v>
      </c>
      <c r="F31" s="40">
        <f>F30</f>
        <v>3</v>
      </c>
      <c r="G31" s="39">
        <f>E31*F31*설계요소!W4</f>
        <v>60</v>
      </c>
      <c r="H31" s="39"/>
      <c r="I31" s="39"/>
      <c r="J31" s="39">
        <f t="shared" ref="J31:J41" si="23">SUM(G31:I31)</f>
        <v>60</v>
      </c>
      <c r="O31" s="53"/>
      <c r="P31" s="38" t="s">
        <v>206</v>
      </c>
      <c r="Q31" s="44" t="s">
        <v>121</v>
      </c>
      <c r="R31" s="83">
        <f>설계요소!AF30</f>
        <v>0</v>
      </c>
      <c r="S31" s="40">
        <f>R31*G37</f>
        <v>0</v>
      </c>
      <c r="T31" s="40">
        <f>R31*H38</f>
        <v>0</v>
      </c>
      <c r="U31" s="40"/>
      <c r="V31" s="40">
        <f t="shared" si="18"/>
        <v>0</v>
      </c>
    </row>
    <row r="32" spans="1:24" s="35" customFormat="1" ht="15.95" customHeight="1">
      <c r="A32" s="53"/>
      <c r="B32" s="49" t="s">
        <v>17</v>
      </c>
      <c r="C32" s="38" t="s">
        <v>230</v>
      </c>
      <c r="D32" s="38" t="s">
        <v>239</v>
      </c>
      <c r="E32" s="39">
        <f>설계요소!AE25</f>
        <v>3.4</v>
      </c>
      <c r="F32" s="40">
        <f>설계요소!X20</f>
        <v>3</v>
      </c>
      <c r="G32" s="39">
        <f>E32*F32*설계요소!W4</f>
        <v>81.599999999999994</v>
      </c>
      <c r="H32" s="39"/>
      <c r="I32" s="39"/>
      <c r="J32" s="39">
        <f t="shared" si="23"/>
        <v>81.599999999999994</v>
      </c>
      <c r="O32" s="53"/>
      <c r="P32" s="38" t="s">
        <v>207</v>
      </c>
      <c r="Q32" s="44" t="s">
        <v>121</v>
      </c>
      <c r="R32" s="83">
        <f>설계요소!AF32</f>
        <v>0</v>
      </c>
      <c r="S32" s="40">
        <f>R32*G39</f>
        <v>0</v>
      </c>
      <c r="T32" s="40"/>
      <c r="U32" s="40"/>
      <c r="V32" s="40">
        <f t="shared" si="18"/>
        <v>0</v>
      </c>
    </row>
    <row r="33" spans="1:24" s="35" customFormat="1" ht="15.95" customHeight="1">
      <c r="A33" s="53"/>
      <c r="B33" s="51"/>
      <c r="C33" s="38" t="s">
        <v>71</v>
      </c>
      <c r="D33" s="38" t="s">
        <v>286</v>
      </c>
      <c r="E33" s="39">
        <f>설계요소!AE26</f>
        <v>12.5</v>
      </c>
      <c r="F33" s="40">
        <f>F32</f>
        <v>3</v>
      </c>
      <c r="G33" s="39"/>
      <c r="H33" s="39">
        <f>F33*E33*설계요소!Y11</f>
        <v>187.5</v>
      </c>
      <c r="I33" s="39"/>
      <c r="J33" s="39">
        <f t="shared" si="23"/>
        <v>187.5</v>
      </c>
      <c r="O33" s="53"/>
      <c r="P33" s="44" t="s">
        <v>208</v>
      </c>
      <c r="Q33" s="44" t="s">
        <v>121</v>
      </c>
      <c r="R33" s="83">
        <f>설계요소!AF33</f>
        <v>0</v>
      </c>
      <c r="S33" s="40">
        <f>R33*G40</f>
        <v>0</v>
      </c>
      <c r="T33" s="40">
        <f>R33*H40</f>
        <v>0</v>
      </c>
      <c r="U33" s="40">
        <f>R33*I40</f>
        <v>0</v>
      </c>
      <c r="V33" s="40">
        <f t="shared" si="18"/>
        <v>0</v>
      </c>
    </row>
    <row r="34" spans="1:24" s="35" customFormat="1" ht="15.95" customHeight="1">
      <c r="A34" s="53"/>
      <c r="B34" s="50" t="s">
        <v>16</v>
      </c>
      <c r="C34" s="38" t="s">
        <v>230</v>
      </c>
      <c r="D34" s="38" t="s">
        <v>75</v>
      </c>
      <c r="E34" s="39">
        <f>설계요소!AE27</f>
        <v>3.33</v>
      </c>
      <c r="F34" s="40">
        <f>설계요소!X21</f>
        <v>3</v>
      </c>
      <c r="G34" s="39">
        <f>(E34*E35/100)*F34*설계요소!W4</f>
        <v>139.85999999999999</v>
      </c>
      <c r="H34" s="39"/>
      <c r="I34" s="39"/>
      <c r="J34" s="39">
        <f t="shared" si="23"/>
        <v>139.85999999999999</v>
      </c>
      <c r="O34" s="53"/>
      <c r="P34" s="44" t="s">
        <v>201</v>
      </c>
      <c r="Q34" s="44" t="s">
        <v>121</v>
      </c>
      <c r="R34" s="40"/>
      <c r="S34" s="40"/>
      <c r="T34" s="40"/>
      <c r="U34" s="40"/>
      <c r="V34" s="40">
        <f t="shared" si="18"/>
        <v>0</v>
      </c>
    </row>
    <row r="35" spans="1:24" s="35" customFormat="1" ht="15.95" customHeight="1">
      <c r="A35" s="53"/>
      <c r="B35" s="50"/>
      <c r="C35" s="38" t="s">
        <v>72</v>
      </c>
      <c r="D35" s="43" t="s">
        <v>288</v>
      </c>
      <c r="E35" s="39">
        <f>설계요소!AE28</f>
        <v>175</v>
      </c>
      <c r="F35" s="40">
        <f>F34</f>
        <v>3</v>
      </c>
      <c r="G35" s="39"/>
      <c r="H35" s="39">
        <f>(E35*F35)*설계요소!Y10/50</f>
        <v>420</v>
      </c>
      <c r="I35" s="39"/>
      <c r="J35" s="39">
        <f t="shared" si="23"/>
        <v>420</v>
      </c>
      <c r="O35" s="54"/>
      <c r="P35" s="38" t="s">
        <v>79</v>
      </c>
      <c r="Q35" s="44" t="s">
        <v>121</v>
      </c>
      <c r="R35" s="40"/>
      <c r="S35" s="40">
        <f>SUM(S26:S34)</f>
        <v>204876</v>
      </c>
      <c r="T35" s="40">
        <f t="shared" ref="T35:V35" si="24">SUM(T26:T34)</f>
        <v>364500</v>
      </c>
      <c r="U35" s="40">
        <f t="shared" si="24"/>
        <v>0</v>
      </c>
      <c r="V35" s="40">
        <f t="shared" si="24"/>
        <v>569376</v>
      </c>
    </row>
    <row r="36" spans="1:24" s="35" customFormat="1" ht="15.95" customHeight="1">
      <c r="A36" s="53"/>
      <c r="B36" s="49" t="s">
        <v>18</v>
      </c>
      <c r="C36" s="38" t="s">
        <v>74</v>
      </c>
      <c r="D36" s="38" t="s">
        <v>234</v>
      </c>
      <c r="E36" s="39">
        <f>설계요소!AE29</f>
        <v>0.5</v>
      </c>
      <c r="F36" s="40"/>
      <c r="G36" s="39">
        <f>E36*기계경비!E43</f>
        <v>6</v>
      </c>
      <c r="H36" s="39">
        <f>E36*기계경비!F43</f>
        <v>12.74</v>
      </c>
      <c r="I36" s="39">
        <f>E36*기계경비!G43</f>
        <v>21.83</v>
      </c>
      <c r="J36" s="39">
        <f t="shared" si="23"/>
        <v>40.57</v>
      </c>
      <c r="O36" s="52" t="s">
        <v>77</v>
      </c>
      <c r="P36" s="38" t="s">
        <v>19</v>
      </c>
      <c r="Q36" s="44" t="s">
        <v>121</v>
      </c>
      <c r="R36" s="40">
        <f>설계요소!AF34</f>
        <v>600</v>
      </c>
      <c r="S36" s="40">
        <f>R36*G43</f>
        <v>1920</v>
      </c>
      <c r="T36" s="40">
        <f>R36*H44</f>
        <v>5400</v>
      </c>
      <c r="U36" s="40"/>
      <c r="V36" s="40">
        <f t="shared" ref="V36:V37" si="25">SUM(S36:U36)</f>
        <v>7320</v>
      </c>
    </row>
    <row r="37" spans="1:24" s="35" customFormat="1" ht="15.95" customHeight="1">
      <c r="A37" s="48"/>
      <c r="B37" s="49" t="s">
        <v>206</v>
      </c>
      <c r="C37" s="72" t="s">
        <v>230</v>
      </c>
      <c r="D37" s="38" t="s">
        <v>233</v>
      </c>
      <c r="E37" s="39">
        <f>설계요소!AE30</f>
        <v>0.9</v>
      </c>
      <c r="F37" s="40"/>
      <c r="G37" s="39">
        <f>E37*설계요소!W4</f>
        <v>7.2</v>
      </c>
      <c r="H37" s="39"/>
      <c r="I37" s="39"/>
      <c r="J37" s="39">
        <f t="shared" si="23"/>
        <v>7.2</v>
      </c>
      <c r="O37" s="53" t="s">
        <v>78</v>
      </c>
      <c r="P37" s="38" t="s">
        <v>76</v>
      </c>
      <c r="Q37" s="44" t="s">
        <v>292</v>
      </c>
      <c r="R37" s="40">
        <f>설계요소!AF36</f>
        <v>1</v>
      </c>
      <c r="S37" s="40">
        <f>R37*G45*26*12</f>
        <v>24960</v>
      </c>
      <c r="T37" s="40"/>
      <c r="U37" s="40"/>
      <c r="V37" s="40">
        <f t="shared" si="25"/>
        <v>24960</v>
      </c>
    </row>
    <row r="38" spans="1:24" s="35" customFormat="1" ht="15.95" customHeight="1">
      <c r="A38" s="48"/>
      <c r="B38" s="51"/>
      <c r="C38" s="38" t="s">
        <v>71</v>
      </c>
      <c r="D38" s="38" t="s">
        <v>240</v>
      </c>
      <c r="E38" s="39">
        <f>설계요소!AE31</f>
        <v>0</v>
      </c>
      <c r="F38" s="40"/>
      <c r="G38" s="39"/>
      <c r="H38" s="39">
        <f>E38*설계요소!Y11</f>
        <v>0</v>
      </c>
      <c r="I38" s="39"/>
      <c r="J38" s="39"/>
      <c r="O38" s="53"/>
      <c r="P38" s="44" t="s">
        <v>201</v>
      </c>
      <c r="Q38" s="44"/>
      <c r="R38" s="44"/>
      <c r="S38" s="44"/>
      <c r="T38" s="44"/>
      <c r="U38" s="44"/>
      <c r="V38" s="40">
        <f>SUM(S38:U38)</f>
        <v>0</v>
      </c>
    </row>
    <row r="39" spans="1:24" s="35" customFormat="1" ht="15.95" customHeight="1">
      <c r="A39" s="53"/>
      <c r="B39" s="51" t="s">
        <v>207</v>
      </c>
      <c r="C39" s="38" t="s">
        <v>230</v>
      </c>
      <c r="D39" s="38" t="s">
        <v>233</v>
      </c>
      <c r="E39" s="39">
        <f>설계요소!AE32</f>
        <v>3.6</v>
      </c>
      <c r="F39" s="40"/>
      <c r="G39" s="39">
        <f>E39*설계요소!W4</f>
        <v>28.8</v>
      </c>
      <c r="H39" s="39"/>
      <c r="I39" s="39"/>
      <c r="J39" s="39">
        <f t="shared" si="23"/>
        <v>28.8</v>
      </c>
      <c r="O39" s="54"/>
      <c r="P39" s="38" t="s">
        <v>79</v>
      </c>
      <c r="Q39" s="44"/>
      <c r="R39" s="40"/>
      <c r="S39" s="40">
        <f>SUM(S36:S38)</f>
        <v>26880</v>
      </c>
      <c r="T39" s="40">
        <f t="shared" ref="T39:V39" si="26">SUM(T36:T38)</f>
        <v>5400</v>
      </c>
      <c r="U39" s="40">
        <f t="shared" si="26"/>
        <v>0</v>
      </c>
      <c r="V39" s="40">
        <f t="shared" si="26"/>
        <v>32280</v>
      </c>
    </row>
    <row r="40" spans="1:24" s="35" customFormat="1" ht="15.95" customHeight="1">
      <c r="A40" s="53"/>
      <c r="B40" s="38" t="s">
        <v>208</v>
      </c>
      <c r="C40" s="38" t="s">
        <v>209</v>
      </c>
      <c r="D40" s="38" t="s">
        <v>235</v>
      </c>
      <c r="E40" s="39">
        <f>설계요소!AE33</f>
        <v>3.7</v>
      </c>
      <c r="F40" s="40"/>
      <c r="G40" s="39">
        <f>E40*기계경비!E28</f>
        <v>37</v>
      </c>
      <c r="H40" s="39">
        <f>E40*기계경비!F28</f>
        <v>32.338000000000001</v>
      </c>
      <c r="I40" s="39">
        <f>E40*기계경비!G28</f>
        <v>28.268000000000001</v>
      </c>
      <c r="J40" s="39">
        <f t="shared" si="23"/>
        <v>97.605999999999995</v>
      </c>
      <c r="O40" s="119" t="s">
        <v>294</v>
      </c>
      <c r="P40" s="120"/>
      <c r="Q40" s="44"/>
      <c r="R40" s="40"/>
      <c r="S40" s="40">
        <f>S39+S35+S25+S18+S10</f>
        <v>477996</v>
      </c>
      <c r="T40" s="40">
        <f t="shared" ref="T40:V40" si="27">T39+T35+T25+T18+T10</f>
        <v>805200</v>
      </c>
      <c r="U40" s="40">
        <f t="shared" si="27"/>
        <v>457200</v>
      </c>
      <c r="V40" s="40">
        <f t="shared" si="27"/>
        <v>1740396</v>
      </c>
      <c r="X40" s="69"/>
    </row>
    <row r="41" spans="1:24" s="35" customFormat="1" ht="15.95" customHeight="1">
      <c r="A41" s="53"/>
      <c r="B41" s="38" t="s">
        <v>201</v>
      </c>
      <c r="C41" s="38"/>
      <c r="D41" s="38"/>
      <c r="E41" s="39"/>
      <c r="F41" s="40"/>
      <c r="G41" s="39"/>
      <c r="H41" s="39"/>
      <c r="I41" s="39"/>
      <c r="J41" s="39">
        <f t="shared" si="23"/>
        <v>0</v>
      </c>
      <c r="O41" s="52" t="s">
        <v>124</v>
      </c>
      <c r="P41" s="44" t="s">
        <v>122</v>
      </c>
      <c r="Q41" s="44"/>
      <c r="R41" s="40"/>
      <c r="S41" s="40"/>
      <c r="T41" s="40"/>
      <c r="U41" s="40"/>
      <c r="V41" s="40">
        <f>ROUND(S40*설계요소!Z25,0)</f>
        <v>50668</v>
      </c>
    </row>
    <row r="42" spans="1:24" s="35" customFormat="1" ht="15.95" customHeight="1">
      <c r="A42" s="54"/>
      <c r="B42" s="49" t="s">
        <v>79</v>
      </c>
      <c r="C42" s="38"/>
      <c r="D42" s="38"/>
      <c r="E42" s="39"/>
      <c r="F42" s="40"/>
      <c r="G42" s="39">
        <f t="shared" ref="G42" si="28">SUM(G30:G41)</f>
        <v>480.46000000000004</v>
      </c>
      <c r="H42" s="39">
        <f t="shared" ref="H42" si="29">SUM(H30:H41)</f>
        <v>652.57799999999997</v>
      </c>
      <c r="I42" s="39">
        <f t="shared" ref="I42" si="30">SUM(I30:I41)</f>
        <v>50.097999999999999</v>
      </c>
      <c r="J42" s="39">
        <f t="shared" ref="J42" si="31">SUM(J30:J41)</f>
        <v>1183.136</v>
      </c>
      <c r="K42" s="39">
        <f t="shared" ref="K42" si="32">SUM(K30:K41)</f>
        <v>0</v>
      </c>
      <c r="L42" s="39">
        <f t="shared" ref="L42" si="33">SUM(L30:L41)</f>
        <v>0</v>
      </c>
      <c r="M42" s="39">
        <f t="shared" ref="M42" si="34">SUM(M30:M41)</f>
        <v>0</v>
      </c>
      <c r="N42" s="39">
        <f t="shared" ref="N42" si="35">SUM(N30:N41)</f>
        <v>0</v>
      </c>
      <c r="O42" s="53"/>
      <c r="P42" s="44" t="s">
        <v>112</v>
      </c>
      <c r="Q42" s="44"/>
      <c r="R42" s="40"/>
      <c r="S42" s="40"/>
      <c r="T42" s="40"/>
      <c r="U42" s="40"/>
      <c r="V42" s="40">
        <f>ROUND((S40+T40+U40+V41)*설계요소!Z26,0)</f>
        <v>107464</v>
      </c>
    </row>
    <row r="43" spans="1:24" s="35" customFormat="1" ht="15.95" customHeight="1">
      <c r="A43" s="47" t="s">
        <v>77</v>
      </c>
      <c r="B43" s="49" t="s">
        <v>19</v>
      </c>
      <c r="C43" s="72" t="s">
        <v>230</v>
      </c>
      <c r="D43" s="38" t="s">
        <v>232</v>
      </c>
      <c r="E43" s="39">
        <f>설계요소!AE34</f>
        <v>0.4</v>
      </c>
      <c r="F43" s="40"/>
      <c r="G43" s="39">
        <f>E43*설계요소!W4</f>
        <v>3.2</v>
      </c>
      <c r="H43" s="39"/>
      <c r="I43" s="39"/>
      <c r="J43" s="39">
        <f t="shared" ref="J43:J46" si="36">SUM(G43:I43)</f>
        <v>3.2</v>
      </c>
      <c r="O43" s="57"/>
      <c r="P43" s="56" t="s">
        <v>139</v>
      </c>
      <c r="Q43" s="44"/>
      <c r="R43" s="40"/>
      <c r="S43" s="40"/>
      <c r="T43" s="40"/>
      <c r="U43" s="40"/>
      <c r="V43" s="40">
        <f>(S40+V41)*설계요소!Z27</f>
        <v>68726.320000000007</v>
      </c>
    </row>
    <row r="44" spans="1:24" s="35" customFormat="1" ht="15.95" customHeight="1">
      <c r="A44" s="48" t="s">
        <v>211</v>
      </c>
      <c r="B44" s="51"/>
      <c r="C44" s="72" t="s">
        <v>210</v>
      </c>
      <c r="D44" s="38" t="s">
        <v>240</v>
      </c>
      <c r="E44" s="39">
        <f>설계요소!AE35</f>
        <v>1.8</v>
      </c>
      <c r="F44" s="40"/>
      <c r="G44" s="39"/>
      <c r="H44" s="39">
        <f>E44*설계요소!Y15</f>
        <v>9</v>
      </c>
      <c r="I44" s="39"/>
      <c r="J44" s="39">
        <f t="shared" si="36"/>
        <v>9</v>
      </c>
      <c r="O44" s="119" t="s">
        <v>125</v>
      </c>
      <c r="P44" s="120"/>
      <c r="Q44" s="44"/>
      <c r="R44" s="40"/>
      <c r="S44" s="40"/>
      <c r="T44" s="40"/>
      <c r="U44" s="40"/>
      <c r="V44" s="40">
        <f>V43+V42+V41+V40</f>
        <v>1967254.32</v>
      </c>
    </row>
    <row r="45" spans="1:24" s="35" customFormat="1" ht="15.95" customHeight="1">
      <c r="A45" s="53" t="s">
        <v>212</v>
      </c>
      <c r="B45" s="51" t="s">
        <v>76</v>
      </c>
      <c r="C45" s="38" t="s">
        <v>230</v>
      </c>
      <c r="D45" s="38" t="s">
        <v>291</v>
      </c>
      <c r="E45" s="39">
        <f>설계요소!AE36</f>
        <v>10</v>
      </c>
      <c r="F45" s="40"/>
      <c r="G45" s="39">
        <f>E45*설계요소!W4</f>
        <v>80</v>
      </c>
      <c r="H45" s="39"/>
      <c r="I45" s="39"/>
      <c r="J45" s="39">
        <f t="shared" si="36"/>
        <v>80</v>
      </c>
      <c r="O45" s="35" t="s">
        <v>299</v>
      </c>
      <c r="P45" s="76"/>
      <c r="Q45" s="76"/>
      <c r="R45" s="76"/>
      <c r="S45" s="76"/>
      <c r="T45" s="76"/>
      <c r="U45" s="106" t="s">
        <v>293</v>
      </c>
      <c r="V45" s="105">
        <f>V44/600</f>
        <v>3278.7572</v>
      </c>
    </row>
    <row r="46" spans="1:24" s="35" customFormat="1" ht="15.95" customHeight="1">
      <c r="A46" s="53"/>
      <c r="B46" s="51" t="s">
        <v>201</v>
      </c>
      <c r="C46" s="38"/>
      <c r="D46" s="38"/>
      <c r="E46" s="39"/>
      <c r="F46" s="40"/>
      <c r="G46" s="39"/>
      <c r="H46" s="39"/>
      <c r="I46" s="39"/>
      <c r="J46" s="39">
        <f t="shared" si="36"/>
        <v>0</v>
      </c>
    </row>
    <row r="47" spans="1:24" s="35" customFormat="1" ht="15.95" customHeight="1">
      <c r="A47" s="54"/>
      <c r="B47" s="38" t="s">
        <v>79</v>
      </c>
      <c r="C47" s="44"/>
      <c r="D47" s="44"/>
      <c r="E47" s="39"/>
      <c r="F47" s="44"/>
      <c r="G47" s="45">
        <f t="shared" ref="G47" si="37">SUM(G43:G46)</f>
        <v>83.2</v>
      </c>
      <c r="H47" s="45">
        <f t="shared" ref="H47" si="38">SUM(H43:H46)</f>
        <v>9</v>
      </c>
      <c r="I47" s="45">
        <f t="shared" ref="I47" si="39">SUM(I43:I46)</f>
        <v>0</v>
      </c>
      <c r="J47" s="45">
        <f t="shared" ref="J47" si="40">SUM(J43:J46)</f>
        <v>92.2</v>
      </c>
    </row>
    <row r="48" spans="1:24" s="35" customFormat="1" ht="15.9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7:22" ht="20.100000000000001" customHeight="1">
      <c r="G49" s="101"/>
      <c r="V49" s="108"/>
    </row>
    <row r="50" spans="7:22" ht="20.100000000000001" customHeight="1">
      <c r="I50" s="101"/>
    </row>
  </sheetData>
  <mergeCells count="7">
    <mergeCell ref="O40:P40"/>
    <mergeCell ref="O44:P44"/>
    <mergeCell ref="A1:J1"/>
    <mergeCell ref="O1:V1"/>
    <mergeCell ref="O2:Q2"/>
    <mergeCell ref="C5:D5"/>
    <mergeCell ref="C25:D25"/>
  </mergeCells>
  <phoneticPr fontId="2" type="noConversion"/>
  <pageMargins left="0.41" right="0.37" top="0.48" bottom="0.47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workbookViewId="0">
      <selection activeCell="J26" sqref="J26"/>
    </sheetView>
  </sheetViews>
  <sheetFormatPr defaultRowHeight="20.100000000000001" customHeight="1"/>
  <cols>
    <col min="1" max="1" width="8.5" style="76" bestFit="1" customWidth="1"/>
    <col min="2" max="2" width="13.125" style="76" customWidth="1"/>
    <col min="3" max="3" width="7.375" style="76" customWidth="1"/>
    <col min="4" max="4" width="7.125" style="76" customWidth="1"/>
    <col min="5" max="5" width="7.625" style="76" bestFit="1" customWidth="1"/>
    <col min="6" max="6" width="5" style="76" bestFit="1" customWidth="1"/>
    <col min="7" max="10" width="8.5" style="76" bestFit="1" customWidth="1"/>
    <col min="11" max="11" width="0" style="76" hidden="1" customWidth="1"/>
    <col min="12" max="12" width="10.25" style="76" hidden="1" customWidth="1"/>
    <col min="13" max="13" width="0.5" style="76" customWidth="1"/>
    <col min="14" max="14" width="1.625" style="76" customWidth="1"/>
    <col min="15" max="15" width="8.5" style="76" bestFit="1" customWidth="1"/>
    <col min="16" max="16" width="16.125" style="76" bestFit="1" customWidth="1"/>
    <col min="17" max="18" width="9" style="76"/>
    <col min="19" max="20" width="9.375" style="76" bestFit="1" customWidth="1"/>
    <col min="21" max="21" width="11.25" style="76" bestFit="1" customWidth="1"/>
    <col min="22" max="22" width="12.125" style="76" customWidth="1"/>
    <col min="23" max="23" width="9" style="76"/>
    <col min="24" max="24" width="9.375" style="76" bestFit="1" customWidth="1"/>
    <col min="25" max="16384" width="9" style="76"/>
  </cols>
  <sheetData>
    <row r="1" spans="1:22" ht="30.75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O1" s="124" t="s">
        <v>120</v>
      </c>
      <c r="P1" s="124"/>
      <c r="Q1" s="124"/>
      <c r="R1" s="124"/>
      <c r="S1" s="124"/>
      <c r="T1" s="124"/>
      <c r="U1" s="124"/>
      <c r="V1" s="124"/>
    </row>
    <row r="2" spans="1:22" ht="15.75" customHeight="1">
      <c r="A2" s="97" t="s">
        <v>369</v>
      </c>
      <c r="B2" s="97"/>
      <c r="C2" s="97"/>
      <c r="G2" s="77"/>
      <c r="H2" s="77"/>
      <c r="I2" s="77"/>
      <c r="J2" s="77"/>
      <c r="K2" s="77"/>
      <c r="L2" s="77"/>
      <c r="M2" s="77"/>
      <c r="N2" s="77"/>
      <c r="O2" s="127" t="str">
        <f>A2</f>
        <v>바이오매스조림</v>
      </c>
      <c r="P2" s="127"/>
      <c r="Q2" s="127"/>
    </row>
    <row r="3" spans="1:22" s="35" customFormat="1" ht="15.95" customHeight="1">
      <c r="A3" s="95" t="s">
        <v>24</v>
      </c>
      <c r="B3" s="95" t="s">
        <v>0</v>
      </c>
      <c r="C3" s="36" t="s">
        <v>23</v>
      </c>
      <c r="D3" s="95" t="s">
        <v>20</v>
      </c>
      <c r="E3" s="95" t="s">
        <v>247</v>
      </c>
      <c r="F3" s="95" t="s">
        <v>70</v>
      </c>
      <c r="G3" s="95" t="s">
        <v>28</v>
      </c>
      <c r="H3" s="95" t="s">
        <v>29</v>
      </c>
      <c r="I3" s="95" t="s">
        <v>30</v>
      </c>
      <c r="J3" s="95" t="s">
        <v>64</v>
      </c>
      <c r="O3" s="95" t="s">
        <v>24</v>
      </c>
      <c r="P3" s="95" t="s">
        <v>0</v>
      </c>
      <c r="Q3" s="95" t="s">
        <v>20</v>
      </c>
      <c r="R3" s="95" t="s">
        <v>21</v>
      </c>
      <c r="S3" s="95" t="s">
        <v>28</v>
      </c>
      <c r="T3" s="95" t="s">
        <v>29</v>
      </c>
      <c r="U3" s="95" t="s">
        <v>30</v>
      </c>
      <c r="V3" s="95" t="s">
        <v>64</v>
      </c>
    </row>
    <row r="4" spans="1:22" s="35" customFormat="1" ht="15.95" customHeight="1">
      <c r="A4" s="47" t="s">
        <v>1</v>
      </c>
      <c r="B4" s="38" t="s">
        <v>2</v>
      </c>
      <c r="C4" s="38" t="s">
        <v>277</v>
      </c>
      <c r="D4" s="38" t="s">
        <v>22</v>
      </c>
      <c r="E4" s="39">
        <v>1</v>
      </c>
      <c r="F4" s="40"/>
      <c r="G4" s="39"/>
      <c r="H4" s="39"/>
      <c r="I4" s="39">
        <v>13.85</v>
      </c>
      <c r="J4" s="39">
        <f t="shared" ref="J4:J17" si="0">SUM(G4:I4)</f>
        <v>13.85</v>
      </c>
      <c r="L4" s="35" t="s">
        <v>80</v>
      </c>
      <c r="O4" s="52" t="s">
        <v>1</v>
      </c>
      <c r="P4" s="38" t="s">
        <v>2</v>
      </c>
      <c r="Q4" s="44" t="s">
        <v>22</v>
      </c>
      <c r="R4" s="82">
        <f>설계요소!AQ4</f>
        <v>3000</v>
      </c>
      <c r="S4" s="40"/>
      <c r="T4" s="40"/>
      <c r="U4" s="40">
        <f>ROUND(I4*R4,0)</f>
        <v>41550</v>
      </c>
      <c r="V4" s="40">
        <f>SUM(S4:U4)</f>
        <v>41550</v>
      </c>
    </row>
    <row r="5" spans="1:22" s="35" customFormat="1" ht="15.95" customHeight="1">
      <c r="A5" s="48"/>
      <c r="B5" s="38" t="s">
        <v>3</v>
      </c>
      <c r="C5" s="117" t="s">
        <v>194</v>
      </c>
      <c r="D5" s="118"/>
      <c r="E5" s="39">
        <v>1</v>
      </c>
      <c r="F5" s="40"/>
      <c r="G5" s="39"/>
      <c r="H5" s="39"/>
      <c r="I5" s="39">
        <f>ROUND(I4*0.1,2)</f>
        <v>1.39</v>
      </c>
      <c r="J5" s="39">
        <f t="shared" si="0"/>
        <v>1.39</v>
      </c>
      <c r="L5" s="35" t="s">
        <v>81</v>
      </c>
      <c r="O5" s="53"/>
      <c r="P5" s="38" t="s">
        <v>3</v>
      </c>
      <c r="Q5" s="44" t="s">
        <v>22</v>
      </c>
      <c r="R5" s="82">
        <f>설계요소!AQ5</f>
        <v>3000</v>
      </c>
      <c r="S5" s="40"/>
      <c r="T5" s="40"/>
      <c r="U5" s="40">
        <f>ROUND(I5*R5,0)</f>
        <v>4170</v>
      </c>
      <c r="V5" s="40">
        <f t="shared" ref="V5:V9" si="1">SUM(S5:U5)</f>
        <v>4170</v>
      </c>
    </row>
    <row r="6" spans="1:22" s="35" customFormat="1" ht="15.95" customHeight="1">
      <c r="A6" s="48"/>
      <c r="B6" s="38" t="s">
        <v>173</v>
      </c>
      <c r="C6" s="93" t="s">
        <v>213</v>
      </c>
      <c r="D6" s="38" t="s">
        <v>22</v>
      </c>
      <c r="E6" s="39">
        <v>1</v>
      </c>
      <c r="F6" s="40"/>
      <c r="G6" s="39"/>
      <c r="H6" s="39"/>
      <c r="I6" s="39">
        <v>1.36</v>
      </c>
      <c r="J6" s="39">
        <f t="shared" si="0"/>
        <v>1.36</v>
      </c>
      <c r="O6" s="53"/>
      <c r="P6" s="38" t="s">
        <v>173</v>
      </c>
      <c r="Q6" s="44" t="s">
        <v>22</v>
      </c>
      <c r="R6" s="82">
        <f>설계요소!AQ6</f>
        <v>0</v>
      </c>
      <c r="S6" s="40"/>
      <c r="T6" s="40"/>
      <c r="U6" s="40">
        <f t="shared" ref="U6:U9" si="2">ROUND(I6*R6,0)</f>
        <v>0</v>
      </c>
      <c r="V6" s="40">
        <f t="shared" si="1"/>
        <v>0</v>
      </c>
    </row>
    <row r="7" spans="1:22" s="35" customFormat="1" ht="15.95" customHeight="1">
      <c r="A7" s="48"/>
      <c r="B7" s="38" t="s">
        <v>172</v>
      </c>
      <c r="C7" s="93" t="s">
        <v>213</v>
      </c>
      <c r="D7" s="38" t="s">
        <v>22</v>
      </c>
      <c r="E7" s="39">
        <v>1</v>
      </c>
      <c r="F7" s="40"/>
      <c r="G7" s="39"/>
      <c r="H7" s="39"/>
      <c r="I7" s="39">
        <v>1.25</v>
      </c>
      <c r="J7" s="39">
        <f t="shared" si="0"/>
        <v>1.25</v>
      </c>
      <c r="O7" s="53"/>
      <c r="P7" s="38" t="s">
        <v>172</v>
      </c>
      <c r="Q7" s="44" t="s">
        <v>22</v>
      </c>
      <c r="R7" s="82">
        <f>설계요소!AQ7</f>
        <v>0</v>
      </c>
      <c r="S7" s="40"/>
      <c r="T7" s="40"/>
      <c r="U7" s="40">
        <f t="shared" si="2"/>
        <v>0</v>
      </c>
      <c r="V7" s="40">
        <f t="shared" si="1"/>
        <v>0</v>
      </c>
    </row>
    <row r="8" spans="1:22" s="35" customFormat="1" ht="15.95" customHeight="1">
      <c r="A8" s="48"/>
      <c r="B8" s="38" t="s">
        <v>144</v>
      </c>
      <c r="C8" s="93" t="s">
        <v>230</v>
      </c>
      <c r="D8" s="38" t="s">
        <v>362</v>
      </c>
      <c r="E8" s="39">
        <f>설계요소!AP8</f>
        <v>50</v>
      </c>
      <c r="F8" s="40"/>
      <c r="G8" s="39">
        <f>E8</f>
        <v>50</v>
      </c>
      <c r="H8" s="39"/>
      <c r="I8" s="39">
        <v>0</v>
      </c>
      <c r="J8" s="39">
        <f t="shared" si="0"/>
        <v>50</v>
      </c>
      <c r="O8" s="53"/>
      <c r="P8" s="38" t="s">
        <v>144</v>
      </c>
      <c r="Q8" s="44" t="s">
        <v>363</v>
      </c>
      <c r="R8" s="82">
        <f>설계요소!AQ8</f>
        <v>500</v>
      </c>
      <c r="S8" s="40">
        <f>G8*R8</f>
        <v>25000</v>
      </c>
      <c r="T8" s="40"/>
      <c r="U8" s="40">
        <f t="shared" si="2"/>
        <v>0</v>
      </c>
      <c r="V8" s="40">
        <f t="shared" si="1"/>
        <v>25000</v>
      </c>
    </row>
    <row r="9" spans="1:22" s="35" customFormat="1" ht="15.95" customHeight="1">
      <c r="A9" s="48"/>
      <c r="B9" s="38" t="s">
        <v>201</v>
      </c>
      <c r="C9" s="93"/>
      <c r="D9" s="38"/>
      <c r="E9" s="39"/>
      <c r="F9" s="40"/>
      <c r="G9" s="39"/>
      <c r="H9" s="39"/>
      <c r="I9" s="39">
        <v>0</v>
      </c>
      <c r="J9" s="39">
        <f t="shared" si="0"/>
        <v>0</v>
      </c>
      <c r="O9" s="53"/>
      <c r="P9" s="38" t="s">
        <v>201</v>
      </c>
      <c r="Q9" s="44" t="s">
        <v>22</v>
      </c>
      <c r="R9" s="82">
        <v>0</v>
      </c>
      <c r="S9" s="40"/>
      <c r="T9" s="40"/>
      <c r="U9" s="40">
        <f t="shared" si="2"/>
        <v>0</v>
      </c>
      <c r="V9" s="40">
        <f t="shared" si="1"/>
        <v>0</v>
      </c>
    </row>
    <row r="10" spans="1:22" s="35" customFormat="1" ht="15.95" customHeight="1">
      <c r="A10" s="48"/>
      <c r="B10" s="38" t="s">
        <v>79</v>
      </c>
      <c r="C10" s="38"/>
      <c r="D10" s="38"/>
      <c r="E10" s="39"/>
      <c r="F10" s="40"/>
      <c r="G10" s="39">
        <f t="shared" ref="G10:I10" si="3">SUM(G4:G9)</f>
        <v>50</v>
      </c>
      <c r="H10" s="39">
        <f t="shared" si="3"/>
        <v>0</v>
      </c>
      <c r="I10" s="39">
        <f t="shared" si="3"/>
        <v>17.850000000000001</v>
      </c>
      <c r="J10" s="39">
        <f>SUM(J4:J9)</f>
        <v>67.849999999999994</v>
      </c>
      <c r="O10" s="53"/>
      <c r="P10" s="38" t="s">
        <v>79</v>
      </c>
      <c r="Q10" s="44"/>
      <c r="R10" s="40"/>
      <c r="S10" s="40">
        <f>SUM(S4:S9)</f>
        <v>25000</v>
      </c>
      <c r="T10" s="40">
        <f t="shared" ref="T10:V10" si="4">SUM(T4:T9)</f>
        <v>0</v>
      </c>
      <c r="U10" s="40">
        <f t="shared" si="4"/>
        <v>45720</v>
      </c>
      <c r="V10" s="40">
        <f t="shared" si="4"/>
        <v>70720</v>
      </c>
    </row>
    <row r="11" spans="1:22" s="35" customFormat="1" ht="15.95" customHeight="1">
      <c r="A11" s="52" t="s">
        <v>4</v>
      </c>
      <c r="B11" s="38" t="s">
        <v>5</v>
      </c>
      <c r="C11" s="38" t="s">
        <v>278</v>
      </c>
      <c r="D11" s="38" t="s">
        <v>232</v>
      </c>
      <c r="E11" s="39">
        <f>설계요소!AP9</f>
        <v>4</v>
      </c>
      <c r="F11" s="40"/>
      <c r="G11" s="39">
        <f>E11*설계요소!AI4</f>
        <v>20</v>
      </c>
      <c r="H11" s="39"/>
      <c r="I11" s="39"/>
      <c r="J11" s="39">
        <f t="shared" si="0"/>
        <v>20</v>
      </c>
      <c r="O11" s="52" t="s">
        <v>4</v>
      </c>
      <c r="P11" s="38" t="s">
        <v>5</v>
      </c>
      <c r="Q11" s="44" t="s">
        <v>121</v>
      </c>
      <c r="R11" s="40">
        <f>설계요소!AQ9</f>
        <v>500</v>
      </c>
      <c r="S11" s="40">
        <f>R11*G11</f>
        <v>10000</v>
      </c>
      <c r="T11" s="40"/>
      <c r="U11" s="40">
        <f>ROUND(I11*R11,0)</f>
        <v>0</v>
      </c>
      <c r="V11" s="40">
        <f t="shared" ref="V11:V24" si="5">SUM(S11:U11)</f>
        <v>10000</v>
      </c>
    </row>
    <row r="12" spans="1:22" s="35" customFormat="1" ht="15.95" customHeight="1">
      <c r="A12" s="53"/>
      <c r="B12" s="38" t="s">
        <v>6</v>
      </c>
      <c r="C12" s="38" t="s">
        <v>26</v>
      </c>
      <c r="D12" s="38" t="s">
        <v>234</v>
      </c>
      <c r="E12" s="39">
        <f>설계요소!AP10</f>
        <v>2</v>
      </c>
      <c r="F12" s="40"/>
      <c r="G12" s="39">
        <f>ROUND(E12*기계경비!E52,2)</f>
        <v>10</v>
      </c>
      <c r="H12" s="39">
        <f>ROUND(E12*기계경비!F52,2)</f>
        <v>13.1</v>
      </c>
      <c r="I12" s="39">
        <f>ROUND(E12*기계경비!G52,2)</f>
        <v>15.28</v>
      </c>
      <c r="J12" s="39">
        <f t="shared" si="0"/>
        <v>38.380000000000003</v>
      </c>
      <c r="O12" s="53"/>
      <c r="P12" s="38" t="s">
        <v>6</v>
      </c>
      <c r="Q12" s="44" t="s">
        <v>121</v>
      </c>
      <c r="R12" s="40">
        <f>설계요소!AQ10</f>
        <v>0</v>
      </c>
      <c r="S12" s="40">
        <f>ROUND(G12*$R$12,0)</f>
        <v>0</v>
      </c>
      <c r="T12" s="40">
        <f t="shared" ref="T12:U12" si="6">ROUND(H12*$R$12,0)</f>
        <v>0</v>
      </c>
      <c r="U12" s="40">
        <f t="shared" si="6"/>
        <v>0</v>
      </c>
      <c r="V12" s="40">
        <f t="shared" si="5"/>
        <v>0</v>
      </c>
    </row>
    <row r="13" spans="1:22" s="35" customFormat="1" ht="15.95" customHeight="1">
      <c r="A13" s="53"/>
      <c r="B13" s="38" t="s">
        <v>7</v>
      </c>
      <c r="C13" s="38" t="s">
        <v>230</v>
      </c>
      <c r="D13" s="38" t="s">
        <v>232</v>
      </c>
      <c r="E13" s="39">
        <f>설계요소!AP11</f>
        <v>24</v>
      </c>
      <c r="F13" s="40"/>
      <c r="G13" s="39">
        <f>E13*설계요소!AH4</f>
        <v>96</v>
      </c>
      <c r="H13" s="39"/>
      <c r="I13" s="39"/>
      <c r="J13" s="39">
        <f t="shared" si="0"/>
        <v>96</v>
      </c>
      <c r="O13" s="53"/>
      <c r="P13" s="38" t="s">
        <v>7</v>
      </c>
      <c r="Q13" s="44" t="s">
        <v>121</v>
      </c>
      <c r="R13" s="40">
        <f>설계요소!AQ11</f>
        <v>0</v>
      </c>
      <c r="S13" s="40">
        <f>R13*G13</f>
        <v>0</v>
      </c>
      <c r="T13" s="40"/>
      <c r="U13" s="40"/>
      <c r="V13" s="40">
        <f t="shared" si="5"/>
        <v>0</v>
      </c>
    </row>
    <row r="14" spans="1:22" s="35" customFormat="1" ht="15.95" customHeight="1">
      <c r="A14" s="53"/>
      <c r="B14" s="38" t="s">
        <v>202</v>
      </c>
      <c r="C14" s="38" t="s">
        <v>230</v>
      </c>
      <c r="D14" s="38" t="s">
        <v>232</v>
      </c>
      <c r="E14" s="39">
        <f>설계요소!AP12</f>
        <v>8</v>
      </c>
      <c r="F14" s="40"/>
      <c r="G14" s="39">
        <f>E14*설계요소!AH4</f>
        <v>32</v>
      </c>
      <c r="H14" s="39"/>
      <c r="I14" s="39"/>
      <c r="J14" s="39">
        <f t="shared" si="0"/>
        <v>32</v>
      </c>
      <c r="O14" s="53"/>
      <c r="P14" s="38" t="s">
        <v>202</v>
      </c>
      <c r="Q14" s="44" t="s">
        <v>214</v>
      </c>
      <c r="R14" s="40">
        <f>설계요소!AQ12</f>
        <v>500</v>
      </c>
      <c r="S14" s="40">
        <f>R14*G14</f>
        <v>16000</v>
      </c>
      <c r="T14" s="40"/>
      <c r="U14" s="40"/>
      <c r="V14" s="40">
        <f t="shared" si="5"/>
        <v>16000</v>
      </c>
    </row>
    <row r="15" spans="1:22" s="35" customFormat="1" ht="15.95" customHeight="1">
      <c r="A15" s="53"/>
      <c r="B15" s="38" t="s">
        <v>8</v>
      </c>
      <c r="C15" s="38" t="s">
        <v>25</v>
      </c>
      <c r="D15" s="38" t="s">
        <v>234</v>
      </c>
      <c r="E15" s="39">
        <f>설계요소!AP13</f>
        <v>2</v>
      </c>
      <c r="F15" s="40"/>
      <c r="G15" s="39">
        <f>ROUND(E15*기계경비!E62,2)</f>
        <v>16</v>
      </c>
      <c r="H15" s="39">
        <f>ROUND(E15*기계경비!F62,2)</f>
        <v>99.56</v>
      </c>
      <c r="I15" s="39">
        <f>ROUND(E15*기계경비!G62,2)</f>
        <v>258.10000000000002</v>
      </c>
      <c r="J15" s="39">
        <f t="shared" si="0"/>
        <v>373.66</v>
      </c>
      <c r="O15" s="53"/>
      <c r="P15" s="38" t="s">
        <v>8</v>
      </c>
      <c r="Q15" s="44" t="s">
        <v>121</v>
      </c>
      <c r="R15" s="40">
        <f>설계요소!AQ13</f>
        <v>0</v>
      </c>
      <c r="S15" s="40">
        <f>ROUND(G15*$R$15,0)</f>
        <v>0</v>
      </c>
      <c r="T15" s="40">
        <f t="shared" ref="T15:U15" si="7">ROUND(H15*$R$15,0)</f>
        <v>0</v>
      </c>
      <c r="U15" s="40">
        <f t="shared" si="7"/>
        <v>0</v>
      </c>
      <c r="V15" s="40">
        <f t="shared" si="5"/>
        <v>0</v>
      </c>
    </row>
    <row r="16" spans="1:22" s="35" customFormat="1" ht="15.95" customHeight="1">
      <c r="A16" s="53"/>
      <c r="B16" s="38" t="s">
        <v>203</v>
      </c>
      <c r="C16" s="38" t="s">
        <v>204</v>
      </c>
      <c r="D16" s="38" t="s">
        <v>235</v>
      </c>
      <c r="E16" s="39">
        <f>설계요소!AP14</f>
        <v>0.5</v>
      </c>
      <c r="F16" s="40"/>
      <c r="G16" s="39">
        <f>E16*기계경비!E67</f>
        <v>4</v>
      </c>
      <c r="H16" s="39">
        <f>E16*기계경비!F67</f>
        <v>9.1</v>
      </c>
      <c r="I16" s="39">
        <f>E16*기계경비!G67</f>
        <v>21.83</v>
      </c>
      <c r="J16" s="39">
        <f t="shared" si="0"/>
        <v>34.93</v>
      </c>
      <c r="O16" s="53"/>
      <c r="P16" s="38" t="s">
        <v>203</v>
      </c>
      <c r="Q16" s="44" t="s">
        <v>121</v>
      </c>
      <c r="R16" s="40">
        <f>설계요소!AQ14</f>
        <v>0</v>
      </c>
      <c r="S16" s="40">
        <f>R16*G16</f>
        <v>0</v>
      </c>
      <c r="T16" s="40">
        <f>R16*H16</f>
        <v>0</v>
      </c>
      <c r="U16" s="40">
        <f>R16*I16</f>
        <v>0</v>
      </c>
      <c r="V16" s="40">
        <f t="shared" si="5"/>
        <v>0</v>
      </c>
    </row>
    <row r="17" spans="1:24" s="35" customFormat="1" ht="15.95" customHeight="1">
      <c r="A17" s="53"/>
      <c r="B17" s="38" t="s">
        <v>201</v>
      </c>
      <c r="C17" s="38"/>
      <c r="D17" s="38"/>
      <c r="E17" s="39"/>
      <c r="F17" s="40"/>
      <c r="G17" s="39"/>
      <c r="H17" s="39"/>
      <c r="I17" s="39"/>
      <c r="J17" s="39">
        <f t="shared" si="0"/>
        <v>0</v>
      </c>
      <c r="O17" s="53"/>
      <c r="P17" s="38" t="s">
        <v>201</v>
      </c>
      <c r="Q17" s="44" t="s">
        <v>121</v>
      </c>
      <c r="R17" s="40">
        <v>0</v>
      </c>
      <c r="S17" s="40"/>
      <c r="T17" s="40"/>
      <c r="U17" s="40"/>
      <c r="V17" s="40">
        <f t="shared" si="5"/>
        <v>0</v>
      </c>
    </row>
    <row r="18" spans="1:24" s="35" customFormat="1" ht="15.95" customHeight="1">
      <c r="A18" s="54"/>
      <c r="B18" s="38" t="s">
        <v>79</v>
      </c>
      <c r="C18" s="38"/>
      <c r="D18" s="38"/>
      <c r="E18" s="39"/>
      <c r="F18" s="40"/>
      <c r="G18" s="39">
        <f t="shared" ref="G18" si="8">SUM(G11:G17)</f>
        <v>178</v>
      </c>
      <c r="H18" s="39">
        <f t="shared" ref="H18" si="9">SUM(H11:H17)</f>
        <v>121.75999999999999</v>
      </c>
      <c r="I18" s="39">
        <f t="shared" ref="I18" si="10">SUM(I11:I17)</f>
        <v>295.20999999999998</v>
      </c>
      <c r="J18" s="39">
        <f t="shared" ref="J18" si="11">SUM(J11:J17)</f>
        <v>594.96999999999991</v>
      </c>
      <c r="O18" s="54"/>
      <c r="P18" s="38" t="s">
        <v>79</v>
      </c>
      <c r="Q18" s="44"/>
      <c r="R18" s="40"/>
      <c r="S18" s="40">
        <f>SUM(S11:S17)</f>
        <v>26000</v>
      </c>
      <c r="T18" s="40">
        <f t="shared" ref="T18:V18" si="12">SUM(T11:T17)</f>
        <v>0</v>
      </c>
      <c r="U18" s="40">
        <f t="shared" si="12"/>
        <v>0</v>
      </c>
      <c r="V18" s="40">
        <f t="shared" si="12"/>
        <v>26000</v>
      </c>
    </row>
    <row r="19" spans="1:24" s="35" customFormat="1" ht="15.95" customHeight="1">
      <c r="A19" s="48" t="s">
        <v>9</v>
      </c>
      <c r="B19" s="49" t="s">
        <v>10</v>
      </c>
      <c r="C19" s="38" t="s">
        <v>230</v>
      </c>
      <c r="D19" s="38" t="s">
        <v>232</v>
      </c>
      <c r="E19" s="39">
        <f>설계요소!AP15</f>
        <v>8</v>
      </c>
      <c r="F19" s="40"/>
      <c r="G19" s="39">
        <f>ROUND(E19*설계요소!AH4,2)</f>
        <v>32</v>
      </c>
      <c r="H19" s="39"/>
      <c r="I19" s="39"/>
      <c r="J19" s="39">
        <f t="shared" ref="J19:J28" si="13">SUM(G19:I19)</f>
        <v>32</v>
      </c>
      <c r="O19" s="53" t="s">
        <v>9</v>
      </c>
      <c r="P19" s="38" t="s">
        <v>10</v>
      </c>
      <c r="Q19" s="44" t="s">
        <v>121</v>
      </c>
      <c r="R19" s="40">
        <f>설계요소!AQ15</f>
        <v>500</v>
      </c>
      <c r="S19" s="40">
        <f>ROUND(G19*$R$19,0)</f>
        <v>16000</v>
      </c>
      <c r="T19" s="40"/>
      <c r="U19" s="40"/>
      <c r="V19" s="40">
        <f t="shared" si="5"/>
        <v>16000</v>
      </c>
      <c r="X19" s="102"/>
    </row>
    <row r="20" spans="1:24" s="35" customFormat="1" ht="15.95" customHeight="1">
      <c r="A20" s="48"/>
      <c r="B20" s="49" t="s">
        <v>205</v>
      </c>
      <c r="C20" s="72" t="s">
        <v>230</v>
      </c>
      <c r="D20" s="38" t="s">
        <v>285</v>
      </c>
      <c r="E20" s="39">
        <f>설계요소!AP16</f>
        <v>3</v>
      </c>
      <c r="F20" s="40"/>
      <c r="G20" s="39">
        <f>(E20*E21/100)*설계요소!AH4</f>
        <v>13.32</v>
      </c>
      <c r="H20" s="39"/>
      <c r="I20" s="39"/>
      <c r="J20" s="39">
        <f t="shared" si="13"/>
        <v>13.32</v>
      </c>
      <c r="O20" s="53"/>
      <c r="P20" s="38" t="s">
        <v>205</v>
      </c>
      <c r="Q20" s="44" t="s">
        <v>121</v>
      </c>
      <c r="R20" s="40">
        <f>설계요소!AQ16</f>
        <v>0</v>
      </c>
      <c r="S20" s="40">
        <f>R20*G20</f>
        <v>0</v>
      </c>
      <c r="T20" s="40">
        <f>R20*H21</f>
        <v>0</v>
      </c>
      <c r="U20" s="40"/>
      <c r="V20" s="40">
        <f t="shared" si="5"/>
        <v>0</v>
      </c>
    </row>
    <row r="21" spans="1:24" s="35" customFormat="1" ht="15.95" customHeight="1">
      <c r="A21" s="48"/>
      <c r="B21" s="51"/>
      <c r="C21" s="72" t="s">
        <v>72</v>
      </c>
      <c r="D21" s="43" t="s">
        <v>236</v>
      </c>
      <c r="E21" s="39">
        <f>설계요소!AP17</f>
        <v>111</v>
      </c>
      <c r="F21" s="40"/>
      <c r="G21" s="39"/>
      <c r="H21" s="39">
        <f>E21*설계요소!C10/50</f>
        <v>69.930000000000007</v>
      </c>
      <c r="I21" s="39"/>
      <c r="J21" s="39">
        <f t="shared" si="13"/>
        <v>69.930000000000007</v>
      </c>
      <c r="O21" s="53"/>
      <c r="P21" s="38" t="s">
        <v>11</v>
      </c>
      <c r="Q21" s="44" t="s">
        <v>121</v>
      </c>
      <c r="R21" s="40">
        <f>설계요소!AQ18</f>
        <v>500</v>
      </c>
      <c r="S21" s="40">
        <f>ROUND(G22*$R$21,0)</f>
        <v>51940</v>
      </c>
      <c r="T21" s="40">
        <f>ROUND(R21*(H23+H24),0)</f>
        <v>61250</v>
      </c>
      <c r="U21" s="40"/>
      <c r="V21" s="40">
        <f t="shared" si="5"/>
        <v>113190</v>
      </c>
    </row>
    <row r="22" spans="1:24" s="35" customFormat="1" ht="15.95" customHeight="1">
      <c r="A22" s="48"/>
      <c r="B22" s="50" t="s">
        <v>11</v>
      </c>
      <c r="C22" s="72" t="s">
        <v>230</v>
      </c>
      <c r="D22" s="38" t="s">
        <v>31</v>
      </c>
      <c r="E22" s="39">
        <f>설계요소!AP18</f>
        <v>0.53</v>
      </c>
      <c r="F22" s="40"/>
      <c r="G22" s="39">
        <f>ROUND(E22*E23/100*설계요소!AH4,2)</f>
        <v>103.88</v>
      </c>
      <c r="H22" s="39"/>
      <c r="I22" s="39"/>
      <c r="J22" s="39">
        <f t="shared" si="13"/>
        <v>103.88</v>
      </c>
      <c r="L22" s="35" t="s">
        <v>110</v>
      </c>
      <c r="O22" s="53"/>
      <c r="P22" s="38" t="s">
        <v>12</v>
      </c>
      <c r="Q22" s="44" t="s">
        <v>121</v>
      </c>
      <c r="R22" s="40">
        <f>R21</f>
        <v>500</v>
      </c>
      <c r="S22" s="40">
        <f>R22*G25</f>
        <v>5195</v>
      </c>
      <c r="T22" s="40">
        <f>R22*H25</f>
        <v>4900</v>
      </c>
      <c r="U22" s="40"/>
      <c r="V22" s="40">
        <f t="shared" si="5"/>
        <v>10095</v>
      </c>
    </row>
    <row r="23" spans="1:24" s="35" customFormat="1" ht="15.95" customHeight="1">
      <c r="A23" s="48"/>
      <c r="B23" s="50"/>
      <c r="C23" s="72" t="s">
        <v>65</v>
      </c>
      <c r="D23" s="38" t="s">
        <v>237</v>
      </c>
      <c r="E23" s="40">
        <f>설계요소!AP19</f>
        <v>4900</v>
      </c>
      <c r="F23" s="40"/>
      <c r="G23" s="39"/>
      <c r="H23" s="39">
        <f>E23*설계요소!AJ12</f>
        <v>98</v>
      </c>
      <c r="I23" s="39"/>
      <c r="J23" s="39">
        <f t="shared" si="13"/>
        <v>98</v>
      </c>
      <c r="O23" s="53"/>
      <c r="P23" s="44" t="s">
        <v>215</v>
      </c>
      <c r="Q23" s="44" t="s">
        <v>121</v>
      </c>
      <c r="R23" s="40">
        <f>설계요소!AQ21</f>
        <v>0</v>
      </c>
      <c r="S23" s="40">
        <f>R23*G26</f>
        <v>0</v>
      </c>
      <c r="T23" s="40">
        <f>R23*H27</f>
        <v>0</v>
      </c>
      <c r="U23" s="40"/>
      <c r="V23" s="40">
        <f t="shared" si="5"/>
        <v>0</v>
      </c>
    </row>
    <row r="24" spans="1:24" s="35" customFormat="1" ht="15.95" customHeight="1">
      <c r="B24" s="54"/>
      <c r="C24" s="44" t="s">
        <v>199</v>
      </c>
      <c r="D24" s="44" t="s">
        <v>238</v>
      </c>
      <c r="E24" s="83">
        <f>E23</f>
        <v>4900</v>
      </c>
      <c r="F24" s="44"/>
      <c r="G24" s="44"/>
      <c r="H24" s="46">
        <f>E24*설계요소!AJ13/100</f>
        <v>24.5</v>
      </c>
      <c r="I24" s="44"/>
      <c r="J24" s="39">
        <f t="shared" si="13"/>
        <v>24.5</v>
      </c>
      <c r="O24" s="53"/>
      <c r="P24" s="44" t="s">
        <v>201</v>
      </c>
      <c r="Q24" s="44" t="s">
        <v>121</v>
      </c>
      <c r="R24" s="40"/>
      <c r="S24" s="40"/>
      <c r="T24" s="40"/>
      <c r="U24" s="40"/>
      <c r="V24" s="40">
        <f t="shared" si="5"/>
        <v>0</v>
      </c>
    </row>
    <row r="25" spans="1:24" s="35" customFormat="1" ht="15.95" customHeight="1">
      <c r="A25" s="48"/>
      <c r="B25" s="49" t="s">
        <v>12</v>
      </c>
      <c r="C25" s="125" t="s">
        <v>195</v>
      </c>
      <c r="D25" s="126"/>
      <c r="E25" s="39"/>
      <c r="F25" s="40"/>
      <c r="G25" s="39">
        <f>ROUND(G22*0.1,2)</f>
        <v>10.39</v>
      </c>
      <c r="H25" s="39">
        <f>ROUND(H23*0.1,2)</f>
        <v>9.8000000000000007</v>
      </c>
      <c r="I25" s="39"/>
      <c r="J25" s="39">
        <f t="shared" si="13"/>
        <v>20.190000000000001</v>
      </c>
      <c r="O25" s="53"/>
      <c r="P25" s="38" t="s">
        <v>79</v>
      </c>
      <c r="Q25" s="44"/>
      <c r="R25" s="40"/>
      <c r="S25" s="40">
        <f>SUM(S19:S24)</f>
        <v>73135</v>
      </c>
      <c r="T25" s="40">
        <f t="shared" ref="T25:V25" si="14">SUM(T19:T24)</f>
        <v>66150</v>
      </c>
      <c r="U25" s="40">
        <f t="shared" si="14"/>
        <v>0</v>
      </c>
      <c r="V25" s="40">
        <f t="shared" si="14"/>
        <v>139285</v>
      </c>
    </row>
    <row r="26" spans="1:24" s="35" customFormat="1" ht="15.95" customHeight="1">
      <c r="A26" s="48"/>
      <c r="B26" s="49" t="s">
        <v>148</v>
      </c>
      <c r="C26" s="41" t="s">
        <v>230</v>
      </c>
      <c r="D26" s="98" t="s">
        <v>231</v>
      </c>
      <c r="E26" s="39">
        <f>설계요소!AP21</f>
        <v>0.48</v>
      </c>
      <c r="F26" s="40"/>
      <c r="G26" s="39">
        <f>E26*설계요소!AH4</f>
        <v>1.92</v>
      </c>
      <c r="H26" s="39"/>
      <c r="I26" s="39"/>
      <c r="J26" s="39">
        <f t="shared" si="13"/>
        <v>1.92</v>
      </c>
      <c r="O26" s="52" t="s">
        <v>13</v>
      </c>
      <c r="P26" s="38" t="s">
        <v>14</v>
      </c>
      <c r="Q26" s="44" t="s">
        <v>121</v>
      </c>
      <c r="R26" s="40">
        <f>설계요소!AQ23</f>
        <v>0</v>
      </c>
      <c r="S26" s="40">
        <f>R26*G30</f>
        <v>0</v>
      </c>
      <c r="T26" s="40"/>
      <c r="U26" s="40"/>
      <c r="V26" s="40">
        <f>SUM(S26:U26)</f>
        <v>0</v>
      </c>
    </row>
    <row r="27" spans="1:24" s="35" customFormat="1" ht="15.95" customHeight="1">
      <c r="A27" s="48"/>
      <c r="B27" s="51"/>
      <c r="C27" s="99" t="s">
        <v>150</v>
      </c>
      <c r="D27" s="43" t="s">
        <v>236</v>
      </c>
      <c r="E27" s="39">
        <f>설계요소!AP22</f>
        <v>4</v>
      </c>
      <c r="F27" s="40"/>
      <c r="G27" s="39"/>
      <c r="H27" s="39">
        <f>E27*설계요소!AJ14</f>
        <v>20</v>
      </c>
      <c r="I27" s="39"/>
      <c r="J27" s="39">
        <f t="shared" si="13"/>
        <v>20</v>
      </c>
      <c r="O27" s="53"/>
      <c r="P27" s="38" t="s">
        <v>68</v>
      </c>
      <c r="Q27" s="44" t="s">
        <v>121</v>
      </c>
      <c r="R27" s="40">
        <f>설계요소!AQ24</f>
        <v>500</v>
      </c>
      <c r="S27" s="40">
        <f>R27*G31</f>
        <v>20000</v>
      </c>
      <c r="T27" s="40"/>
      <c r="U27" s="40"/>
      <c r="V27" s="40">
        <f t="shared" ref="V27:V31" si="15">SUM(S27:U27)</f>
        <v>20000</v>
      </c>
    </row>
    <row r="28" spans="1:24" s="35" customFormat="1" ht="15.95" customHeight="1">
      <c r="A28" s="48"/>
      <c r="B28" s="51" t="s">
        <v>201</v>
      </c>
      <c r="C28" s="99"/>
      <c r="D28" s="43"/>
      <c r="E28" s="39"/>
      <c r="F28" s="40"/>
      <c r="G28" s="39"/>
      <c r="H28" s="39"/>
      <c r="I28" s="39"/>
      <c r="J28" s="39">
        <f t="shared" si="13"/>
        <v>0</v>
      </c>
      <c r="O28" s="53"/>
      <c r="P28" s="38" t="s">
        <v>17</v>
      </c>
      <c r="Q28" s="44" t="s">
        <v>121</v>
      </c>
      <c r="R28" s="40">
        <f>설계요소!AQ25</f>
        <v>0</v>
      </c>
      <c r="S28" s="40">
        <f>R28*G32</f>
        <v>0</v>
      </c>
      <c r="T28" s="40">
        <f>R28*G33</f>
        <v>0</v>
      </c>
      <c r="U28" s="40"/>
      <c r="V28" s="40">
        <f t="shared" si="15"/>
        <v>0</v>
      </c>
    </row>
    <row r="29" spans="1:24" s="35" customFormat="1" ht="15.95" customHeight="1">
      <c r="A29" s="48"/>
      <c r="B29" s="51" t="s">
        <v>79</v>
      </c>
      <c r="C29" s="42"/>
      <c r="D29" s="38"/>
      <c r="E29" s="39"/>
      <c r="F29" s="40"/>
      <c r="G29" s="39">
        <f t="shared" ref="G29" si="16">SUM(G19:G28)</f>
        <v>161.50999999999996</v>
      </c>
      <c r="H29" s="39">
        <f t="shared" ref="H29" si="17">SUM(H19:H28)</f>
        <v>222.23000000000002</v>
      </c>
      <c r="I29" s="39">
        <f t="shared" ref="I29" si="18">SUM(I19:I28)</f>
        <v>0</v>
      </c>
      <c r="J29" s="39">
        <f t="shared" ref="J29" si="19">SUM(J19:J28)</f>
        <v>383.74</v>
      </c>
      <c r="O29" s="53"/>
      <c r="P29" s="38" t="s">
        <v>16</v>
      </c>
      <c r="Q29" s="44" t="s">
        <v>121</v>
      </c>
      <c r="R29" s="40">
        <f>설계요소!AQ27</f>
        <v>500</v>
      </c>
      <c r="S29" s="40">
        <f>R29*G34</f>
        <v>27476.800000000003</v>
      </c>
      <c r="T29" s="40">
        <f>R29*H35</f>
        <v>63408</v>
      </c>
      <c r="U29" s="40"/>
      <c r="V29" s="40">
        <f t="shared" si="15"/>
        <v>90884.800000000003</v>
      </c>
      <c r="X29" s="102"/>
    </row>
    <row r="30" spans="1:24" s="35" customFormat="1" ht="15.95" customHeight="1">
      <c r="A30" s="52" t="s">
        <v>13</v>
      </c>
      <c r="B30" s="38" t="s">
        <v>14</v>
      </c>
      <c r="C30" s="38" t="s">
        <v>230</v>
      </c>
      <c r="D30" s="38" t="s">
        <v>239</v>
      </c>
      <c r="E30" s="39">
        <f>설계요소!AP23</f>
        <v>5</v>
      </c>
      <c r="F30" s="40">
        <f>설계요소!B19</f>
        <v>1</v>
      </c>
      <c r="G30" s="39">
        <f>E30*F30*설계요소!AH4</f>
        <v>20</v>
      </c>
      <c r="H30" s="39"/>
      <c r="I30" s="39"/>
      <c r="J30" s="39">
        <f>SUM(G30:I30)</f>
        <v>20</v>
      </c>
      <c r="O30" s="53"/>
      <c r="P30" s="38" t="s">
        <v>18</v>
      </c>
      <c r="Q30" s="44" t="s">
        <v>121</v>
      </c>
      <c r="R30" s="40">
        <f>설계요소!AQ29</f>
        <v>0</v>
      </c>
      <c r="S30" s="40">
        <f>R30*G36</f>
        <v>0</v>
      </c>
      <c r="T30" s="40">
        <f>R30*H36</f>
        <v>0</v>
      </c>
      <c r="U30" s="40">
        <f>R30*I36</f>
        <v>0</v>
      </c>
      <c r="V30" s="40">
        <f t="shared" si="15"/>
        <v>0</v>
      </c>
    </row>
    <row r="31" spans="1:24" s="35" customFormat="1" ht="15.95" customHeight="1">
      <c r="A31" s="53"/>
      <c r="B31" s="38" t="s">
        <v>68</v>
      </c>
      <c r="C31" s="38" t="s">
        <v>230</v>
      </c>
      <c r="D31" s="38" t="s">
        <v>239</v>
      </c>
      <c r="E31" s="39">
        <f>설계요소!AP24</f>
        <v>10</v>
      </c>
      <c r="F31" s="40">
        <f>설계요소!B19</f>
        <v>1</v>
      </c>
      <c r="G31" s="39">
        <f>E31*F31*설계요소!AH4</f>
        <v>40</v>
      </c>
      <c r="H31" s="39"/>
      <c r="I31" s="39"/>
      <c r="J31" s="39">
        <f t="shared" ref="J31:J37" si="20">SUM(G31:I31)</f>
        <v>40</v>
      </c>
      <c r="O31" s="53"/>
      <c r="P31" s="38" t="s">
        <v>206</v>
      </c>
      <c r="Q31" s="44" t="s">
        <v>121</v>
      </c>
      <c r="R31" s="83">
        <f>설계요소!AQ30</f>
        <v>0</v>
      </c>
      <c r="S31" s="40">
        <f>R31*G37</f>
        <v>0</v>
      </c>
      <c r="T31" s="40">
        <f>R31*H38</f>
        <v>0</v>
      </c>
      <c r="U31" s="40"/>
      <c r="V31" s="40">
        <f t="shared" si="15"/>
        <v>0</v>
      </c>
    </row>
    <row r="32" spans="1:24" s="35" customFormat="1" ht="15.95" customHeight="1">
      <c r="A32" s="53"/>
      <c r="B32" s="49" t="s">
        <v>17</v>
      </c>
      <c r="C32" s="38" t="s">
        <v>230</v>
      </c>
      <c r="D32" s="38" t="s">
        <v>239</v>
      </c>
      <c r="E32" s="39">
        <f>설계요소!AP25</f>
        <v>3.4</v>
      </c>
      <c r="F32" s="40">
        <f>설계요소!B20</f>
        <v>1</v>
      </c>
      <c r="G32" s="39">
        <f>E32*F32*설계요소!AH4</f>
        <v>13.6</v>
      </c>
      <c r="H32" s="39"/>
      <c r="I32" s="39"/>
      <c r="J32" s="39">
        <f t="shared" si="20"/>
        <v>13.6</v>
      </c>
      <c r="O32" s="54"/>
      <c r="P32" s="38" t="s">
        <v>79</v>
      </c>
      <c r="Q32" s="44" t="s">
        <v>121</v>
      </c>
      <c r="R32" s="40"/>
      <c r="S32" s="40">
        <f>SUM(S26:S31)</f>
        <v>47476.800000000003</v>
      </c>
      <c r="T32" s="40">
        <f t="shared" ref="T32:V32" si="21">SUM(T26:T31)</f>
        <v>63408</v>
      </c>
      <c r="U32" s="40">
        <f t="shared" si="21"/>
        <v>0</v>
      </c>
      <c r="V32" s="40">
        <f t="shared" si="21"/>
        <v>110884.8</v>
      </c>
    </row>
    <row r="33" spans="1:24" s="35" customFormat="1" ht="15.95" customHeight="1">
      <c r="A33" s="53"/>
      <c r="B33" s="51"/>
      <c r="C33" s="38" t="s">
        <v>71</v>
      </c>
      <c r="D33" s="38" t="s">
        <v>286</v>
      </c>
      <c r="E33" s="39">
        <f>설계요소!AP26</f>
        <v>4</v>
      </c>
      <c r="F33" s="40">
        <f>설계요소!B20</f>
        <v>1</v>
      </c>
      <c r="G33" s="39">
        <f>E33*F33*설계요소!AJ11</f>
        <v>20</v>
      </c>
      <c r="H33" s="39"/>
      <c r="I33" s="39"/>
      <c r="J33" s="39">
        <f t="shared" si="20"/>
        <v>20</v>
      </c>
      <c r="O33" s="52" t="s">
        <v>77</v>
      </c>
      <c r="P33" s="38" t="s">
        <v>19</v>
      </c>
      <c r="Q33" s="44" t="s">
        <v>121</v>
      </c>
      <c r="R33" s="40">
        <f>설계요소!AQ32</f>
        <v>500</v>
      </c>
      <c r="S33" s="40">
        <f>R33*G41</f>
        <v>800</v>
      </c>
      <c r="T33" s="40">
        <f>R33*H42</f>
        <v>4500</v>
      </c>
      <c r="U33" s="40"/>
      <c r="V33" s="40">
        <f t="shared" ref="V33:V34" si="22">SUM(S33:U33)</f>
        <v>5300</v>
      </c>
    </row>
    <row r="34" spans="1:24" s="35" customFormat="1" ht="15.95" customHeight="1">
      <c r="A34" s="53"/>
      <c r="B34" s="50" t="s">
        <v>16</v>
      </c>
      <c r="C34" s="38" t="s">
        <v>230</v>
      </c>
      <c r="D34" s="38" t="s">
        <v>75</v>
      </c>
      <c r="E34" s="39">
        <f>설계요소!AP27</f>
        <v>0.52</v>
      </c>
      <c r="F34" s="40">
        <f>설계요소!B21</f>
        <v>1</v>
      </c>
      <c r="G34" s="39">
        <f>(E34*E35/100)*F34*설계요소!AH4</f>
        <v>54.953600000000009</v>
      </c>
      <c r="H34" s="39"/>
      <c r="I34" s="39"/>
      <c r="J34" s="39">
        <f t="shared" si="20"/>
        <v>54.953600000000009</v>
      </c>
      <c r="O34" s="53" t="s">
        <v>78</v>
      </c>
      <c r="P34" s="38" t="s">
        <v>76</v>
      </c>
      <c r="Q34" s="44" t="s">
        <v>292</v>
      </c>
      <c r="R34" s="40">
        <f>설계요소!AQ34</f>
        <v>1</v>
      </c>
      <c r="S34" s="40">
        <f>R34*G43*26*12</f>
        <v>12480</v>
      </c>
      <c r="T34" s="40"/>
      <c r="U34" s="40"/>
      <c r="V34" s="40">
        <f t="shared" si="22"/>
        <v>12480</v>
      </c>
    </row>
    <row r="35" spans="1:24" s="35" customFormat="1" ht="15.95" customHeight="1">
      <c r="A35" s="53"/>
      <c r="B35" s="50"/>
      <c r="C35" s="38" t="s">
        <v>72</v>
      </c>
      <c r="D35" s="43" t="s">
        <v>288</v>
      </c>
      <c r="E35" s="40">
        <f>설계요소!AP28</f>
        <v>2642</v>
      </c>
      <c r="F35" s="40">
        <f>설계요소!B21</f>
        <v>1</v>
      </c>
      <c r="G35" s="39"/>
      <c r="H35" s="39">
        <f>E35*F35*설계요소!AJ10/50</f>
        <v>126.816</v>
      </c>
      <c r="I35" s="39"/>
      <c r="J35" s="39">
        <f t="shared" si="20"/>
        <v>126.816</v>
      </c>
      <c r="O35" s="53"/>
      <c r="P35" s="44" t="s">
        <v>201</v>
      </c>
      <c r="Q35" s="44"/>
      <c r="R35" s="44"/>
      <c r="S35" s="44"/>
      <c r="T35" s="44"/>
      <c r="U35" s="44"/>
      <c r="V35" s="40">
        <f>SUM(S35:U35)</f>
        <v>0</v>
      </c>
    </row>
    <row r="36" spans="1:24" s="35" customFormat="1" ht="15.95" customHeight="1">
      <c r="A36" s="53"/>
      <c r="B36" s="49" t="s">
        <v>18</v>
      </c>
      <c r="C36" s="38" t="s">
        <v>74</v>
      </c>
      <c r="D36" s="38" t="s">
        <v>234</v>
      </c>
      <c r="E36" s="39">
        <f>설계요소!AP29</f>
        <v>0.5</v>
      </c>
      <c r="F36" s="40"/>
      <c r="G36" s="39">
        <f>E36*기계경비!E67</f>
        <v>4</v>
      </c>
      <c r="H36" s="39">
        <f>E36*기계경비!F67</f>
        <v>9.1</v>
      </c>
      <c r="I36" s="39">
        <f>E36*기계경비!G67</f>
        <v>21.83</v>
      </c>
      <c r="J36" s="39">
        <f t="shared" si="20"/>
        <v>34.93</v>
      </c>
      <c r="O36" s="54"/>
      <c r="P36" s="38" t="s">
        <v>79</v>
      </c>
      <c r="Q36" s="44"/>
      <c r="R36" s="40"/>
      <c r="S36" s="40">
        <f>SUM(S33:S35)</f>
        <v>13280</v>
      </c>
      <c r="T36" s="40">
        <f t="shared" ref="T36:V36" si="23">SUM(T33:T35)</f>
        <v>4500</v>
      </c>
      <c r="U36" s="40">
        <f t="shared" si="23"/>
        <v>0</v>
      </c>
      <c r="V36" s="40">
        <f t="shared" si="23"/>
        <v>17780</v>
      </c>
    </row>
    <row r="37" spans="1:24" s="35" customFormat="1" ht="15.95" customHeight="1">
      <c r="A37" s="48"/>
      <c r="B37" s="49" t="s">
        <v>206</v>
      </c>
      <c r="C37" s="72" t="s">
        <v>230</v>
      </c>
      <c r="D37" s="38" t="s">
        <v>233</v>
      </c>
      <c r="E37" s="39">
        <f>설계요소!AP30</f>
        <v>0.9</v>
      </c>
      <c r="F37" s="40"/>
      <c r="G37" s="39">
        <f>E37*설계요소!AH4</f>
        <v>3.6</v>
      </c>
      <c r="H37" s="39"/>
      <c r="I37" s="39"/>
      <c r="J37" s="39">
        <f t="shared" si="20"/>
        <v>3.6</v>
      </c>
      <c r="O37" s="119" t="s">
        <v>294</v>
      </c>
      <c r="P37" s="120"/>
      <c r="Q37" s="44"/>
      <c r="R37" s="40"/>
      <c r="S37" s="40">
        <f>S36+S32+S25+S18+S10</f>
        <v>184891.8</v>
      </c>
      <c r="T37" s="40">
        <f t="shared" ref="T37:V37" si="24">T36+T32+T25+T18+T10</f>
        <v>134058</v>
      </c>
      <c r="U37" s="40">
        <f t="shared" si="24"/>
        <v>45720</v>
      </c>
      <c r="V37" s="40">
        <f t="shared" si="24"/>
        <v>364669.8</v>
      </c>
      <c r="X37" s="69"/>
    </row>
    <row r="38" spans="1:24" s="35" customFormat="1" ht="15.95" customHeight="1">
      <c r="A38" s="48"/>
      <c r="B38" s="51"/>
      <c r="C38" s="38" t="s">
        <v>71</v>
      </c>
      <c r="D38" s="38" t="s">
        <v>240</v>
      </c>
      <c r="E38" s="39">
        <f>설계요소!AP31</f>
        <v>0</v>
      </c>
      <c r="F38" s="40"/>
      <c r="G38" s="39"/>
      <c r="H38" s="39">
        <f>E38*설계요소!AJ11</f>
        <v>0</v>
      </c>
      <c r="I38" s="39"/>
      <c r="J38" s="39"/>
      <c r="O38" s="52" t="s">
        <v>124</v>
      </c>
      <c r="P38" s="44" t="s">
        <v>122</v>
      </c>
      <c r="Q38" s="44"/>
      <c r="R38" s="40"/>
      <c r="S38" s="40"/>
      <c r="T38" s="40"/>
      <c r="U38" s="40"/>
      <c r="V38" s="40">
        <f>ROUND(S37*설계요소!AK25,0)</f>
        <v>19599</v>
      </c>
    </row>
    <row r="39" spans="1:24" s="35" customFormat="1" ht="15.95" customHeight="1">
      <c r="A39" s="53"/>
      <c r="B39" s="38" t="s">
        <v>201</v>
      </c>
      <c r="C39" s="38"/>
      <c r="D39" s="38"/>
      <c r="E39" s="39"/>
      <c r="F39" s="40"/>
      <c r="G39" s="39"/>
      <c r="H39" s="39"/>
      <c r="I39" s="39"/>
      <c r="J39" s="39">
        <f>SUM(G39:I39)</f>
        <v>0</v>
      </c>
      <c r="O39" s="53"/>
      <c r="P39" s="44" t="s">
        <v>112</v>
      </c>
      <c r="Q39" s="44"/>
      <c r="R39" s="40"/>
      <c r="S39" s="40"/>
      <c r="T39" s="40"/>
      <c r="U39" s="40"/>
      <c r="V39" s="40">
        <f>ROUND((S37+T37+U37+V38)*설계요소!AK26,0)</f>
        <v>23056</v>
      </c>
    </row>
    <row r="40" spans="1:24" s="35" customFormat="1" ht="15.95" customHeight="1">
      <c r="A40" s="54"/>
      <c r="B40" s="49" t="s">
        <v>79</v>
      </c>
      <c r="C40" s="38"/>
      <c r="D40" s="38"/>
      <c r="E40" s="39"/>
      <c r="F40" s="40"/>
      <c r="G40" s="39">
        <f>SUM(G30:G39)</f>
        <v>156.15360000000001</v>
      </c>
      <c r="H40" s="39">
        <f t="shared" ref="H40:J40" si="25">SUM(H30:H39)</f>
        <v>135.916</v>
      </c>
      <c r="I40" s="39">
        <f t="shared" si="25"/>
        <v>21.83</v>
      </c>
      <c r="J40" s="39">
        <f t="shared" si="25"/>
        <v>313.89960000000002</v>
      </c>
      <c r="O40" s="57"/>
      <c r="P40" s="56" t="s">
        <v>139</v>
      </c>
      <c r="Q40" s="44"/>
      <c r="R40" s="40"/>
      <c r="S40" s="40"/>
      <c r="T40" s="40"/>
      <c r="U40" s="40"/>
      <c r="V40" s="40">
        <f>(S37+V38)*설계요소!AK27</f>
        <v>26583.804</v>
      </c>
    </row>
    <row r="41" spans="1:24" s="35" customFormat="1" ht="15.95" customHeight="1">
      <c r="A41" s="47" t="s">
        <v>77</v>
      </c>
      <c r="B41" s="49" t="s">
        <v>19</v>
      </c>
      <c r="C41" s="72" t="s">
        <v>230</v>
      </c>
      <c r="D41" s="38" t="s">
        <v>232</v>
      </c>
      <c r="E41" s="39">
        <f>설계요소!AP32</f>
        <v>0.4</v>
      </c>
      <c r="F41" s="40"/>
      <c r="G41" s="39">
        <f>E41*설계요소!AH4</f>
        <v>1.6</v>
      </c>
      <c r="H41" s="39"/>
      <c r="I41" s="39"/>
      <c r="J41" s="39">
        <f t="shared" ref="J41:J44" si="26">SUM(G41:I41)</f>
        <v>1.6</v>
      </c>
      <c r="O41" s="119" t="s">
        <v>125</v>
      </c>
      <c r="P41" s="120"/>
      <c r="Q41" s="44"/>
      <c r="R41" s="40"/>
      <c r="S41" s="40"/>
      <c r="T41" s="40"/>
      <c r="U41" s="40"/>
      <c r="V41" s="40">
        <f>V40+V39+V38+V37</f>
        <v>433908.60399999999</v>
      </c>
    </row>
    <row r="42" spans="1:24" s="35" customFormat="1" ht="15.95" customHeight="1">
      <c r="A42" s="48" t="s">
        <v>211</v>
      </c>
      <c r="B42" s="51"/>
      <c r="C42" s="72" t="s">
        <v>210</v>
      </c>
      <c r="D42" s="38" t="s">
        <v>240</v>
      </c>
      <c r="E42" s="39">
        <f>설계요소!AP33</f>
        <v>1.8</v>
      </c>
      <c r="F42" s="40"/>
      <c r="G42" s="39"/>
      <c r="H42" s="39">
        <f>E42*설계요소!AJ15</f>
        <v>9</v>
      </c>
      <c r="I42" s="39"/>
      <c r="J42" s="39">
        <f t="shared" si="26"/>
        <v>9</v>
      </c>
      <c r="O42" s="35" t="s">
        <v>303</v>
      </c>
      <c r="P42" s="76"/>
      <c r="Q42" s="76"/>
      <c r="R42" s="76"/>
      <c r="S42" s="76"/>
      <c r="T42" s="76"/>
      <c r="U42" s="106" t="s">
        <v>293</v>
      </c>
      <c r="V42" s="105">
        <f>V41/500</f>
        <v>867.81720799999994</v>
      </c>
    </row>
    <row r="43" spans="1:24" s="35" customFormat="1" ht="15.95" customHeight="1">
      <c r="A43" s="53" t="s">
        <v>212</v>
      </c>
      <c r="B43" s="51" t="s">
        <v>76</v>
      </c>
      <c r="C43" s="38" t="s">
        <v>230</v>
      </c>
      <c r="D43" s="38" t="s">
        <v>291</v>
      </c>
      <c r="E43" s="39">
        <f>설계요소!AP34</f>
        <v>10</v>
      </c>
      <c r="F43" s="40"/>
      <c r="G43" s="39">
        <f>E43*설계요소!AH4</f>
        <v>40</v>
      </c>
      <c r="H43" s="39"/>
      <c r="I43" s="39"/>
      <c r="J43" s="39">
        <f t="shared" si="26"/>
        <v>40</v>
      </c>
    </row>
    <row r="44" spans="1:24" s="35" customFormat="1" ht="15.95" customHeight="1">
      <c r="A44" s="53"/>
      <c r="B44" s="51" t="s">
        <v>201</v>
      </c>
      <c r="C44" s="38"/>
      <c r="D44" s="38"/>
      <c r="E44" s="39"/>
      <c r="F44" s="40"/>
      <c r="G44" s="39"/>
      <c r="H44" s="39"/>
      <c r="I44" s="39"/>
      <c r="J44" s="39">
        <f t="shared" si="26"/>
        <v>0</v>
      </c>
    </row>
    <row r="45" spans="1:24" s="35" customFormat="1" ht="15.95" customHeight="1">
      <c r="A45" s="54"/>
      <c r="B45" s="38" t="s">
        <v>79</v>
      </c>
      <c r="C45" s="44"/>
      <c r="D45" s="44"/>
      <c r="E45" s="44"/>
      <c r="F45" s="44"/>
      <c r="G45" s="45">
        <f t="shared" ref="G45" si="27">SUM(G41:G44)</f>
        <v>41.6</v>
      </c>
      <c r="H45" s="45">
        <f t="shared" ref="H45" si="28">SUM(H41:H44)</f>
        <v>9</v>
      </c>
      <c r="I45" s="45">
        <f t="shared" ref="I45" si="29">SUM(I41:I44)</f>
        <v>0</v>
      </c>
      <c r="J45" s="45">
        <f t="shared" ref="J45" si="30">SUM(J41:J44)</f>
        <v>50.6</v>
      </c>
      <c r="V45" s="69"/>
    </row>
    <row r="46" spans="1:24" s="35" customFormat="1" ht="15.95" customHeight="1"/>
    <row r="47" spans="1:24" s="35" customFormat="1" ht="15.95" customHeight="1"/>
    <row r="48" spans="1:24" s="35" customFormat="1" ht="15.9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50" spans="9:9" ht="20.100000000000001" customHeight="1">
      <c r="I50" s="101"/>
    </row>
  </sheetData>
  <mergeCells count="7">
    <mergeCell ref="O41:P41"/>
    <mergeCell ref="O37:P37"/>
    <mergeCell ref="A1:J1"/>
    <mergeCell ref="O1:V1"/>
    <mergeCell ref="O2:Q2"/>
    <mergeCell ref="C5:D5"/>
    <mergeCell ref="C25:D25"/>
  </mergeCells>
  <phoneticPr fontId="2" type="noConversion"/>
  <pageMargins left="0.48" right="0.32" top="0.55000000000000004" bottom="0.3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6"/>
  <sheetViews>
    <sheetView workbookViewId="0">
      <selection activeCell="I27" sqref="I27"/>
    </sheetView>
  </sheetViews>
  <sheetFormatPr defaultRowHeight="20.100000000000001" customHeight="1"/>
  <cols>
    <col min="1" max="1" width="8.5" style="1" bestFit="1" customWidth="1"/>
    <col min="2" max="2" width="13.125" style="1" customWidth="1"/>
    <col min="3" max="3" width="7.375" style="1" customWidth="1"/>
    <col min="4" max="4" width="7.125" style="1" customWidth="1"/>
    <col min="5" max="5" width="8.5" style="1" bestFit="1" customWidth="1"/>
    <col min="6" max="6" width="5" style="1" bestFit="1" customWidth="1"/>
    <col min="7" max="9" width="8.5" style="1" bestFit="1" customWidth="1"/>
    <col min="10" max="10" width="11.625" style="1" bestFit="1" customWidth="1"/>
    <col min="11" max="11" width="0" style="1" hidden="1" customWidth="1"/>
    <col min="12" max="12" width="10.25" style="1" hidden="1" customWidth="1"/>
    <col min="13" max="13" width="0" style="1" hidden="1" customWidth="1"/>
    <col min="14" max="14" width="1.625" style="1" customWidth="1"/>
    <col min="15" max="15" width="8.5" style="1" bestFit="1" customWidth="1"/>
    <col min="16" max="16" width="16.125" style="1" bestFit="1" customWidth="1"/>
    <col min="17" max="18" width="9" style="1"/>
    <col min="19" max="20" width="9.375" style="1" bestFit="1" customWidth="1"/>
    <col min="21" max="21" width="11.25" style="1" bestFit="1" customWidth="1"/>
    <col min="22" max="22" width="12.125" style="1" customWidth="1"/>
    <col min="23" max="16384" width="9" style="1"/>
  </cols>
  <sheetData>
    <row r="1" spans="1:22" ht="28.5" customHeight="1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O1" s="124" t="s">
        <v>120</v>
      </c>
      <c r="P1" s="124"/>
      <c r="Q1" s="124"/>
      <c r="R1" s="124"/>
      <c r="S1" s="124"/>
      <c r="T1" s="124"/>
      <c r="U1" s="124"/>
      <c r="V1" s="124"/>
    </row>
    <row r="2" spans="1:22" ht="15.75" customHeight="1">
      <c r="A2" s="127" t="s">
        <v>311</v>
      </c>
      <c r="B2" s="127"/>
      <c r="C2" s="127"/>
      <c r="G2" s="9"/>
      <c r="H2" s="9"/>
      <c r="I2" s="9"/>
      <c r="J2" s="9"/>
      <c r="K2" s="9"/>
      <c r="L2" s="9"/>
      <c r="M2" s="9"/>
      <c r="N2" s="9"/>
      <c r="O2" s="127" t="str">
        <f>A2</f>
        <v>고무나무 조림</v>
      </c>
      <c r="P2" s="127"/>
      <c r="Q2" s="127"/>
    </row>
    <row r="3" spans="1:22" s="35" customFormat="1" ht="15.95" customHeight="1">
      <c r="A3" s="55" t="s">
        <v>24</v>
      </c>
      <c r="B3" s="55" t="s">
        <v>0</v>
      </c>
      <c r="C3" s="36" t="s">
        <v>23</v>
      </c>
      <c r="D3" s="55" t="s">
        <v>20</v>
      </c>
      <c r="E3" s="55" t="s">
        <v>21</v>
      </c>
      <c r="F3" s="55" t="s">
        <v>70</v>
      </c>
      <c r="G3" s="55" t="s">
        <v>28</v>
      </c>
      <c r="H3" s="55" t="s">
        <v>29</v>
      </c>
      <c r="I3" s="55" t="s">
        <v>30</v>
      </c>
      <c r="J3" s="55" t="s">
        <v>64</v>
      </c>
      <c r="O3" s="95" t="s">
        <v>24</v>
      </c>
      <c r="P3" s="95" t="s">
        <v>0</v>
      </c>
      <c r="Q3" s="95" t="s">
        <v>20</v>
      </c>
      <c r="R3" s="95" t="s">
        <v>21</v>
      </c>
      <c r="S3" s="95" t="s">
        <v>28</v>
      </c>
      <c r="T3" s="95" t="s">
        <v>29</v>
      </c>
      <c r="U3" s="95" t="s">
        <v>30</v>
      </c>
      <c r="V3" s="95" t="s">
        <v>64</v>
      </c>
    </row>
    <row r="4" spans="1:22" s="35" customFormat="1" ht="15.95" customHeight="1">
      <c r="A4" s="47" t="s">
        <v>1</v>
      </c>
      <c r="B4" s="38" t="s">
        <v>2</v>
      </c>
      <c r="C4" s="38" t="s">
        <v>277</v>
      </c>
      <c r="D4" s="38" t="s">
        <v>22</v>
      </c>
      <c r="E4" s="39">
        <v>1</v>
      </c>
      <c r="F4" s="40"/>
      <c r="G4" s="39"/>
      <c r="H4" s="39"/>
      <c r="I4" s="39">
        <v>13.85</v>
      </c>
      <c r="J4" s="39">
        <f t="shared" ref="J4:J17" si="0">SUM(G4:I4)</f>
        <v>13.85</v>
      </c>
      <c r="L4" s="35" t="s">
        <v>80</v>
      </c>
      <c r="O4" s="52" t="s">
        <v>1</v>
      </c>
      <c r="P4" s="38" t="s">
        <v>2</v>
      </c>
      <c r="Q4" s="44" t="s">
        <v>22</v>
      </c>
      <c r="R4" s="82">
        <f>설계요소!BK4</f>
        <v>16000</v>
      </c>
      <c r="S4" s="40"/>
      <c r="T4" s="40"/>
      <c r="U4" s="40">
        <f>ROUND(I4*R4,0)</f>
        <v>221600</v>
      </c>
      <c r="V4" s="40">
        <f>SUM(S4:U4)</f>
        <v>221600</v>
      </c>
    </row>
    <row r="5" spans="1:22" s="35" customFormat="1" ht="15.95" customHeight="1">
      <c r="A5" s="48"/>
      <c r="B5" s="38" t="s">
        <v>3</v>
      </c>
      <c r="C5" s="117" t="s">
        <v>194</v>
      </c>
      <c r="D5" s="118"/>
      <c r="E5" s="39">
        <v>1</v>
      </c>
      <c r="F5" s="40"/>
      <c r="G5" s="39"/>
      <c r="H5" s="39"/>
      <c r="I5" s="39">
        <v>1.39</v>
      </c>
      <c r="J5" s="39">
        <f t="shared" si="0"/>
        <v>1.39</v>
      </c>
      <c r="L5" s="35" t="s">
        <v>81</v>
      </c>
      <c r="O5" s="53"/>
      <c r="P5" s="38" t="s">
        <v>3</v>
      </c>
      <c r="Q5" s="44" t="s">
        <v>22</v>
      </c>
      <c r="R5" s="82">
        <f>설계요소!BK5</f>
        <v>16000</v>
      </c>
      <c r="S5" s="40"/>
      <c r="T5" s="40"/>
      <c r="U5" s="40">
        <f>ROUND(I5*R5,0)</f>
        <v>22240</v>
      </c>
      <c r="V5" s="40">
        <f t="shared" ref="V5:V9" si="1">SUM(S5:U5)</f>
        <v>22240</v>
      </c>
    </row>
    <row r="6" spans="1:22" s="35" customFormat="1" ht="15.95" customHeight="1">
      <c r="A6" s="48"/>
      <c r="B6" s="38" t="s">
        <v>173</v>
      </c>
      <c r="C6" s="93" t="s">
        <v>213</v>
      </c>
      <c r="D6" s="38" t="s">
        <v>22</v>
      </c>
      <c r="E6" s="39">
        <v>1</v>
      </c>
      <c r="F6" s="40"/>
      <c r="G6" s="39"/>
      <c r="H6" s="39"/>
      <c r="I6" s="39">
        <v>1.36</v>
      </c>
      <c r="J6" s="39">
        <f t="shared" si="0"/>
        <v>1.36</v>
      </c>
      <c r="O6" s="53"/>
      <c r="P6" s="38" t="s">
        <v>173</v>
      </c>
      <c r="Q6" s="44" t="s">
        <v>22</v>
      </c>
      <c r="R6" s="82">
        <f>설계요소!BK6</f>
        <v>0</v>
      </c>
      <c r="S6" s="40"/>
      <c r="T6" s="40"/>
      <c r="U6" s="40">
        <f t="shared" ref="U6:U9" si="2">ROUND(I6*R6,0)</f>
        <v>0</v>
      </c>
      <c r="V6" s="40">
        <f t="shared" si="1"/>
        <v>0</v>
      </c>
    </row>
    <row r="7" spans="1:22" s="35" customFormat="1" ht="15.95" customHeight="1">
      <c r="A7" s="48"/>
      <c r="B7" s="38" t="s">
        <v>172</v>
      </c>
      <c r="C7" s="93" t="s">
        <v>213</v>
      </c>
      <c r="D7" s="38" t="s">
        <v>22</v>
      </c>
      <c r="E7" s="39">
        <v>1</v>
      </c>
      <c r="F7" s="40"/>
      <c r="G7" s="39"/>
      <c r="H7" s="39"/>
      <c r="I7" s="39">
        <v>1.25</v>
      </c>
      <c r="J7" s="39">
        <f t="shared" si="0"/>
        <v>1.25</v>
      </c>
      <c r="O7" s="53"/>
      <c r="P7" s="38" t="s">
        <v>172</v>
      </c>
      <c r="Q7" s="44" t="s">
        <v>22</v>
      </c>
      <c r="R7" s="82">
        <f>설계요소!BK7</f>
        <v>2800</v>
      </c>
      <c r="S7" s="40"/>
      <c r="T7" s="40"/>
      <c r="U7" s="40">
        <f t="shared" si="2"/>
        <v>3500</v>
      </c>
      <c r="V7" s="40">
        <f t="shared" si="1"/>
        <v>3500</v>
      </c>
    </row>
    <row r="8" spans="1:22" s="35" customFormat="1" ht="15.95" customHeight="1">
      <c r="A8" s="48"/>
      <c r="B8" s="38" t="s">
        <v>144</v>
      </c>
      <c r="C8" s="93" t="s">
        <v>230</v>
      </c>
      <c r="D8" s="38" t="s">
        <v>232</v>
      </c>
      <c r="E8" s="39">
        <f>설계요소!BJ8</f>
        <v>0</v>
      </c>
      <c r="F8" s="40"/>
      <c r="G8" s="39">
        <f>E8*설계요소!BB4</f>
        <v>0</v>
      </c>
      <c r="H8" s="39"/>
      <c r="I8" s="39"/>
      <c r="J8" s="39">
        <f t="shared" si="0"/>
        <v>0</v>
      </c>
      <c r="O8" s="53"/>
      <c r="P8" s="38" t="s">
        <v>144</v>
      </c>
      <c r="Q8" s="44" t="s">
        <v>121</v>
      </c>
      <c r="R8" s="82">
        <f>설계요소!BK8</f>
        <v>0</v>
      </c>
      <c r="S8" s="40">
        <f>G8*R8</f>
        <v>0</v>
      </c>
      <c r="T8" s="40"/>
      <c r="U8" s="40">
        <f t="shared" si="2"/>
        <v>0</v>
      </c>
      <c r="V8" s="40">
        <f t="shared" si="1"/>
        <v>0</v>
      </c>
    </row>
    <row r="9" spans="1:22" s="35" customFormat="1" ht="15.95" customHeight="1">
      <c r="A9" s="48"/>
      <c r="B9" s="38" t="s">
        <v>174</v>
      </c>
      <c r="C9" s="38"/>
      <c r="D9" s="38"/>
      <c r="E9" s="39"/>
      <c r="F9" s="40"/>
      <c r="G9" s="39"/>
      <c r="H9" s="39"/>
      <c r="I9" s="39"/>
      <c r="J9" s="39">
        <f t="shared" si="0"/>
        <v>0</v>
      </c>
      <c r="O9" s="53"/>
      <c r="P9" s="38" t="s">
        <v>201</v>
      </c>
      <c r="Q9" s="44" t="s">
        <v>22</v>
      </c>
      <c r="R9" s="82">
        <v>0</v>
      </c>
      <c r="S9" s="40"/>
      <c r="T9" s="40"/>
      <c r="U9" s="40">
        <f t="shared" si="2"/>
        <v>0</v>
      </c>
      <c r="V9" s="40">
        <f t="shared" si="1"/>
        <v>0</v>
      </c>
    </row>
    <row r="10" spans="1:22" s="35" customFormat="1" ht="15.95" customHeight="1">
      <c r="A10" s="48"/>
      <c r="B10" s="38" t="s">
        <v>79</v>
      </c>
      <c r="C10" s="38"/>
      <c r="D10" s="38"/>
      <c r="E10" s="39"/>
      <c r="F10" s="40"/>
      <c r="G10" s="39">
        <f t="shared" ref="G10" si="3">SUM(G4:G9)</f>
        <v>0</v>
      </c>
      <c r="H10" s="39">
        <f t="shared" ref="H10" si="4">SUM(H4:H9)</f>
        <v>0</v>
      </c>
      <c r="I10" s="39">
        <f t="shared" ref="I10" si="5">SUM(I4:I9)</f>
        <v>17.850000000000001</v>
      </c>
      <c r="J10" s="39">
        <f t="shared" ref="J10" si="6">SUM(J4:J9)</f>
        <v>17.850000000000001</v>
      </c>
      <c r="O10" s="53"/>
      <c r="P10" s="38" t="s">
        <v>79</v>
      </c>
      <c r="Q10" s="44"/>
      <c r="R10" s="40"/>
      <c r="S10" s="40">
        <f>SUM(S4:S9)</f>
        <v>0</v>
      </c>
      <c r="T10" s="40">
        <f t="shared" ref="T10:V10" si="7">SUM(T4:T9)</f>
        <v>0</v>
      </c>
      <c r="U10" s="40">
        <f t="shared" si="7"/>
        <v>247340</v>
      </c>
      <c r="V10" s="40">
        <f t="shared" si="7"/>
        <v>247340</v>
      </c>
    </row>
    <row r="11" spans="1:22" s="35" customFormat="1" ht="15.95" customHeight="1">
      <c r="A11" s="52" t="s">
        <v>4</v>
      </c>
      <c r="B11" s="38" t="s">
        <v>5</v>
      </c>
      <c r="C11" s="38" t="s">
        <v>278</v>
      </c>
      <c r="D11" s="38" t="s">
        <v>232</v>
      </c>
      <c r="E11" s="39">
        <f>설계요소!BJ9</f>
        <v>4</v>
      </c>
      <c r="F11" s="40"/>
      <c r="G11" s="39">
        <f>E11*설계요소!BC4</f>
        <v>30.76</v>
      </c>
      <c r="H11" s="39"/>
      <c r="I11" s="39"/>
      <c r="J11" s="39">
        <f t="shared" si="0"/>
        <v>30.76</v>
      </c>
      <c r="O11" s="52" t="s">
        <v>4</v>
      </c>
      <c r="P11" s="38" t="s">
        <v>5</v>
      </c>
      <c r="Q11" s="44" t="s">
        <v>121</v>
      </c>
      <c r="R11" s="40">
        <f>설계요소!BK9</f>
        <v>400</v>
      </c>
      <c r="S11" s="40">
        <f>R11*G11</f>
        <v>12304</v>
      </c>
      <c r="T11" s="40"/>
      <c r="U11" s="40">
        <f>ROUND(I11*R11,0)</f>
        <v>0</v>
      </c>
      <c r="V11" s="40">
        <f t="shared" ref="V11:V25" si="8">SUM(S11:U11)</f>
        <v>12304</v>
      </c>
    </row>
    <row r="12" spans="1:22" s="35" customFormat="1" ht="15.95" customHeight="1">
      <c r="A12" s="53"/>
      <c r="B12" s="38" t="s">
        <v>6</v>
      </c>
      <c r="C12" s="38" t="s">
        <v>26</v>
      </c>
      <c r="D12" s="38" t="s">
        <v>234</v>
      </c>
      <c r="E12" s="39">
        <f>설계요소!BJ10</f>
        <v>2</v>
      </c>
      <c r="F12" s="40"/>
      <c r="G12" s="39">
        <f>E12*기계경비!E76</f>
        <v>15.38</v>
      </c>
      <c r="H12" s="39">
        <f>E12*기계경비!F76</f>
        <v>21.84</v>
      </c>
      <c r="I12" s="39">
        <f>E12*기계경비!G76</f>
        <v>15.28</v>
      </c>
      <c r="J12" s="39">
        <f t="shared" si="0"/>
        <v>52.5</v>
      </c>
      <c r="O12" s="53"/>
      <c r="P12" s="38" t="s">
        <v>6</v>
      </c>
      <c r="Q12" s="44" t="s">
        <v>121</v>
      </c>
      <c r="R12" s="40">
        <f>설계요소!BK10</f>
        <v>0</v>
      </c>
      <c r="S12" s="40">
        <f>R12*G12</f>
        <v>0</v>
      </c>
      <c r="T12" s="40">
        <f>R12*H12</f>
        <v>0</v>
      </c>
      <c r="U12" s="40">
        <f>R12*I12</f>
        <v>0</v>
      </c>
      <c r="V12" s="40">
        <f t="shared" si="8"/>
        <v>0</v>
      </c>
    </row>
    <row r="13" spans="1:22" s="35" customFormat="1" ht="15.95" customHeight="1">
      <c r="A13" s="53"/>
      <c r="B13" s="38" t="s">
        <v>7</v>
      </c>
      <c r="C13" s="38" t="s">
        <v>230</v>
      </c>
      <c r="D13" s="38" t="s">
        <v>232</v>
      </c>
      <c r="E13" s="39">
        <f>설계요소!BJ11</f>
        <v>24</v>
      </c>
      <c r="F13" s="40"/>
      <c r="G13" s="39">
        <f>E13*설계요소!BB4</f>
        <v>106.08</v>
      </c>
      <c r="H13" s="39"/>
      <c r="I13" s="39"/>
      <c r="J13" s="39">
        <f t="shared" si="0"/>
        <v>106.08</v>
      </c>
      <c r="O13" s="53"/>
      <c r="P13" s="38" t="s">
        <v>7</v>
      </c>
      <c r="Q13" s="44" t="s">
        <v>121</v>
      </c>
      <c r="R13" s="40">
        <f>설계요소!BK11</f>
        <v>400</v>
      </c>
      <c r="S13" s="40">
        <f>R13*G13</f>
        <v>42432</v>
      </c>
      <c r="T13" s="40"/>
      <c r="U13" s="40"/>
      <c r="V13" s="40">
        <f t="shared" si="8"/>
        <v>42432</v>
      </c>
    </row>
    <row r="14" spans="1:22" s="35" customFormat="1" ht="15.95" customHeight="1">
      <c r="A14" s="53"/>
      <c r="B14" s="38" t="s">
        <v>202</v>
      </c>
      <c r="C14" s="38" t="s">
        <v>230</v>
      </c>
      <c r="D14" s="38" t="s">
        <v>232</v>
      </c>
      <c r="E14" s="39">
        <f>설계요소!BJ12</f>
        <v>8</v>
      </c>
      <c r="F14" s="40"/>
      <c r="G14" s="39">
        <f>E14*설계요소!BB4</f>
        <v>35.36</v>
      </c>
      <c r="H14" s="39"/>
      <c r="I14" s="39"/>
      <c r="J14" s="39">
        <f t="shared" si="0"/>
        <v>35.36</v>
      </c>
      <c r="O14" s="53"/>
      <c r="P14" s="38" t="s">
        <v>202</v>
      </c>
      <c r="Q14" s="44" t="s">
        <v>214</v>
      </c>
      <c r="R14" s="40">
        <f>설계요소!BK12</f>
        <v>0</v>
      </c>
      <c r="S14" s="40">
        <f>R14*G14</f>
        <v>0</v>
      </c>
      <c r="T14" s="40"/>
      <c r="U14" s="40"/>
      <c r="V14" s="40">
        <f t="shared" si="8"/>
        <v>0</v>
      </c>
    </row>
    <row r="15" spans="1:22" s="35" customFormat="1" ht="15.95" customHeight="1">
      <c r="A15" s="53"/>
      <c r="B15" s="38" t="s">
        <v>8</v>
      </c>
      <c r="C15" s="38" t="s">
        <v>25</v>
      </c>
      <c r="D15" s="38" t="s">
        <v>234</v>
      </c>
      <c r="E15" s="39">
        <f>설계요소!BJ13</f>
        <v>2</v>
      </c>
      <c r="F15" s="40"/>
      <c r="G15" s="39">
        <f>E15*기계경비!E86</f>
        <v>30.76</v>
      </c>
      <c r="H15" s="39">
        <f>E15*기계경비!F86</f>
        <v>169.24</v>
      </c>
      <c r="I15" s="39">
        <f>E15*기계경비!G86</f>
        <v>258.10000000000002</v>
      </c>
      <c r="J15" s="39">
        <f t="shared" si="0"/>
        <v>458.1</v>
      </c>
      <c r="O15" s="53"/>
      <c r="P15" s="38" t="s">
        <v>8</v>
      </c>
      <c r="Q15" s="44" t="s">
        <v>121</v>
      </c>
      <c r="R15" s="40">
        <f>설계요소!BK13</f>
        <v>0</v>
      </c>
      <c r="S15" s="40">
        <f>ROUND(G15*$R$15,0)</f>
        <v>0</v>
      </c>
      <c r="T15" s="40">
        <f t="shared" ref="T15:U15" si="9">ROUND(H15*$R$15,0)</f>
        <v>0</v>
      </c>
      <c r="U15" s="40">
        <f t="shared" si="9"/>
        <v>0</v>
      </c>
      <c r="V15" s="40">
        <f t="shared" si="8"/>
        <v>0</v>
      </c>
    </row>
    <row r="16" spans="1:22" s="35" customFormat="1" ht="15.95" customHeight="1">
      <c r="A16" s="53"/>
      <c r="B16" s="38" t="s">
        <v>203</v>
      </c>
      <c r="C16" s="38" t="s">
        <v>204</v>
      </c>
      <c r="D16" s="38" t="s">
        <v>235</v>
      </c>
      <c r="E16" s="39">
        <f>설계요소!BJ14</f>
        <v>0.5</v>
      </c>
      <c r="F16" s="40"/>
      <c r="G16" s="39">
        <f>E16*기계경비!E91</f>
        <v>7.69</v>
      </c>
      <c r="H16" s="39">
        <f>E16*기계경비!F91</f>
        <v>15.47</v>
      </c>
      <c r="I16" s="39">
        <f>E16*기계경비!G91</f>
        <v>21.83</v>
      </c>
      <c r="J16" s="39">
        <f t="shared" si="0"/>
        <v>44.989999999999995</v>
      </c>
      <c r="O16" s="53"/>
      <c r="P16" s="38" t="s">
        <v>203</v>
      </c>
      <c r="Q16" s="44" t="s">
        <v>121</v>
      </c>
      <c r="R16" s="40">
        <f>설계요소!BK14</f>
        <v>0</v>
      </c>
      <c r="S16" s="40">
        <f>R16*G16</f>
        <v>0</v>
      </c>
      <c r="T16" s="40">
        <f>R16*H16</f>
        <v>0</v>
      </c>
      <c r="U16" s="40">
        <f>R16*I16</f>
        <v>0</v>
      </c>
      <c r="V16" s="40">
        <f t="shared" si="8"/>
        <v>0</v>
      </c>
    </row>
    <row r="17" spans="1:24" s="35" customFormat="1" ht="15.95" customHeight="1">
      <c r="A17" s="53"/>
      <c r="B17" s="38" t="s">
        <v>175</v>
      </c>
      <c r="C17" s="38"/>
      <c r="D17" s="38"/>
      <c r="E17" s="39"/>
      <c r="F17" s="40"/>
      <c r="G17" s="39"/>
      <c r="H17" s="39"/>
      <c r="I17" s="39"/>
      <c r="J17" s="39">
        <f t="shared" si="0"/>
        <v>0</v>
      </c>
      <c r="O17" s="53"/>
      <c r="P17" s="38" t="s">
        <v>201</v>
      </c>
      <c r="Q17" s="44" t="s">
        <v>121</v>
      </c>
      <c r="R17" s="40">
        <v>0</v>
      </c>
      <c r="S17" s="40"/>
      <c r="T17" s="40"/>
      <c r="U17" s="40"/>
      <c r="V17" s="40">
        <f t="shared" si="8"/>
        <v>0</v>
      </c>
    </row>
    <row r="18" spans="1:24" s="35" customFormat="1" ht="15.95" customHeight="1">
      <c r="A18" s="54"/>
      <c r="B18" s="38" t="s">
        <v>79</v>
      </c>
      <c r="C18" s="38"/>
      <c r="D18" s="38"/>
      <c r="E18" s="39"/>
      <c r="F18" s="40"/>
      <c r="G18" s="39">
        <f t="shared" ref="G18" si="10">SUM(G11:G17)</f>
        <v>226.02999999999997</v>
      </c>
      <c r="H18" s="39">
        <f t="shared" ref="H18" si="11">SUM(H11:H17)</f>
        <v>206.55</v>
      </c>
      <c r="I18" s="39">
        <f t="shared" ref="I18" si="12">SUM(I11:I17)</f>
        <v>295.20999999999998</v>
      </c>
      <c r="J18" s="39">
        <f t="shared" ref="J18" si="13">SUM(J11:J17)</f>
        <v>727.79</v>
      </c>
      <c r="O18" s="54"/>
      <c r="P18" s="38" t="s">
        <v>79</v>
      </c>
      <c r="Q18" s="44"/>
      <c r="R18" s="40"/>
      <c r="S18" s="40">
        <f>SUM(S11:S17)</f>
        <v>54736</v>
      </c>
      <c r="T18" s="40">
        <f t="shared" ref="T18:V18" si="14">SUM(T11:T17)</f>
        <v>0</v>
      </c>
      <c r="U18" s="40">
        <f t="shared" si="14"/>
        <v>0</v>
      </c>
      <c r="V18" s="40">
        <f t="shared" si="14"/>
        <v>54736</v>
      </c>
    </row>
    <row r="19" spans="1:24" s="35" customFormat="1" ht="15.95" customHeight="1">
      <c r="A19" s="48" t="s">
        <v>9</v>
      </c>
      <c r="B19" s="38" t="s">
        <v>10</v>
      </c>
      <c r="C19" s="38" t="s">
        <v>229</v>
      </c>
      <c r="D19" s="38" t="s">
        <v>232</v>
      </c>
      <c r="E19" s="39">
        <f>설계요소!BJ15</f>
        <v>5.5</v>
      </c>
      <c r="F19" s="40"/>
      <c r="G19" s="39">
        <f>E19*설계요소!BB4</f>
        <v>24.31</v>
      </c>
      <c r="H19" s="39"/>
      <c r="I19" s="39"/>
      <c r="J19" s="39">
        <f t="shared" ref="J19:J31" si="15">SUM(G19:I19)</f>
        <v>24.31</v>
      </c>
      <c r="O19" s="52" t="s">
        <v>9</v>
      </c>
      <c r="P19" s="38" t="s">
        <v>10</v>
      </c>
      <c r="Q19" s="44" t="s">
        <v>121</v>
      </c>
      <c r="R19" s="40">
        <f>설계요소!BK15</f>
        <v>400</v>
      </c>
      <c r="S19" s="40">
        <f>ROUND(G19*$R$19,0)</f>
        <v>9724</v>
      </c>
      <c r="T19" s="40"/>
      <c r="U19" s="40"/>
      <c r="V19" s="40">
        <f t="shared" si="8"/>
        <v>9724</v>
      </c>
    </row>
    <row r="20" spans="1:24" s="35" customFormat="1" ht="15.95" customHeight="1">
      <c r="A20" s="48"/>
      <c r="B20" s="50" t="s">
        <v>170</v>
      </c>
      <c r="C20" s="38" t="s">
        <v>229</v>
      </c>
      <c r="D20" s="38" t="s">
        <v>232</v>
      </c>
      <c r="E20" s="39">
        <f>설계요소!BJ16</f>
        <v>13.6</v>
      </c>
      <c r="F20" s="40"/>
      <c r="G20" s="39">
        <f>E20*설계요소!BB4</f>
        <v>60.111999999999995</v>
      </c>
      <c r="H20" s="39"/>
      <c r="I20" s="39"/>
      <c r="J20" s="39">
        <f t="shared" si="15"/>
        <v>60.111999999999995</v>
      </c>
      <c r="O20" s="53"/>
      <c r="P20" s="38" t="s">
        <v>170</v>
      </c>
      <c r="Q20" s="44"/>
      <c r="R20" s="83">
        <f>설계요소!BK16</f>
        <v>400</v>
      </c>
      <c r="S20" s="83">
        <f>R20*G20</f>
        <v>24044.799999999999</v>
      </c>
      <c r="T20" s="44"/>
      <c r="U20" s="44"/>
      <c r="V20" s="40">
        <f t="shared" si="8"/>
        <v>24044.799999999999</v>
      </c>
    </row>
    <row r="21" spans="1:24" s="35" customFormat="1" ht="15.95" customHeight="1">
      <c r="A21" s="48"/>
      <c r="B21" s="49" t="s">
        <v>176</v>
      </c>
      <c r="C21" s="38" t="s">
        <v>229</v>
      </c>
      <c r="D21" s="38" t="s">
        <v>232</v>
      </c>
      <c r="E21" s="39">
        <f>설계요소!BJ17</f>
        <v>8</v>
      </c>
      <c r="F21" s="40"/>
      <c r="G21" s="39">
        <f>E21*설계요소!BB4</f>
        <v>35.36</v>
      </c>
      <c r="H21" s="39"/>
      <c r="I21" s="39"/>
      <c r="J21" s="39">
        <f t="shared" si="15"/>
        <v>35.36</v>
      </c>
      <c r="O21" s="53"/>
      <c r="P21" s="38" t="s">
        <v>205</v>
      </c>
      <c r="Q21" s="44" t="s">
        <v>121</v>
      </c>
      <c r="R21" s="40">
        <f>설계요소!BK17</f>
        <v>400</v>
      </c>
      <c r="S21" s="40">
        <f>R21*G21</f>
        <v>14144</v>
      </c>
      <c r="T21" s="40">
        <f>R21*H22</f>
        <v>172716</v>
      </c>
      <c r="U21" s="40"/>
      <c r="V21" s="40">
        <f t="shared" si="8"/>
        <v>186860</v>
      </c>
    </row>
    <row r="22" spans="1:24" s="35" customFormat="1" ht="15.95" customHeight="1">
      <c r="A22" s="48"/>
      <c r="B22" s="51"/>
      <c r="C22" s="38" t="s">
        <v>154</v>
      </c>
      <c r="D22" s="43" t="s">
        <v>236</v>
      </c>
      <c r="E22" s="39">
        <f>설계요소!BJ18</f>
        <v>111</v>
      </c>
      <c r="F22" s="40"/>
      <c r="G22" s="39"/>
      <c r="H22" s="39">
        <f>E22*설계요소!BD11</f>
        <v>431.79</v>
      </c>
      <c r="I22" s="39"/>
      <c r="J22" s="39">
        <f t="shared" si="15"/>
        <v>431.79</v>
      </c>
      <c r="O22" s="53"/>
      <c r="P22" s="38" t="s">
        <v>11</v>
      </c>
      <c r="Q22" s="44" t="s">
        <v>121</v>
      </c>
      <c r="R22" s="40">
        <f>설계요소!BK19</f>
        <v>400</v>
      </c>
      <c r="S22" s="40">
        <f>R22*G23</f>
        <v>28259.599999999999</v>
      </c>
      <c r="T22" s="40">
        <f>ROUND(R22*(H24+H25),0)</f>
        <v>156356</v>
      </c>
      <c r="U22" s="40"/>
      <c r="V22" s="40">
        <f t="shared" si="8"/>
        <v>184615.6</v>
      </c>
    </row>
    <row r="23" spans="1:24" s="35" customFormat="1" ht="15.95" customHeight="1">
      <c r="A23" s="48"/>
      <c r="B23" s="50" t="s">
        <v>11</v>
      </c>
      <c r="C23" s="38" t="s">
        <v>229</v>
      </c>
      <c r="D23" s="38" t="s">
        <v>31</v>
      </c>
      <c r="E23" s="39">
        <f>설계요소!BJ19</f>
        <v>2.88</v>
      </c>
      <c r="F23" s="40"/>
      <c r="G23" s="39">
        <f>ROUND(E23*E24/100*설계요소!BB4,3)</f>
        <v>70.649000000000001</v>
      </c>
      <c r="H23" s="39"/>
      <c r="I23" s="39"/>
      <c r="J23" s="39">
        <f t="shared" si="15"/>
        <v>70.649000000000001</v>
      </c>
      <c r="L23" s="35" t="s">
        <v>110</v>
      </c>
      <c r="O23" s="53"/>
      <c r="P23" s="38" t="s">
        <v>12</v>
      </c>
      <c r="Q23" s="44" t="s">
        <v>121</v>
      </c>
      <c r="R23" s="40">
        <f>R22</f>
        <v>400</v>
      </c>
      <c r="S23" s="40">
        <f>R23*G26</f>
        <v>2824</v>
      </c>
      <c r="T23" s="40">
        <f>R23*H26</f>
        <v>15096</v>
      </c>
      <c r="U23" s="40"/>
      <c r="V23" s="40">
        <f t="shared" si="8"/>
        <v>17920</v>
      </c>
    </row>
    <row r="24" spans="1:24" s="35" customFormat="1" ht="15.95" customHeight="1">
      <c r="A24" s="48"/>
      <c r="B24" s="50"/>
      <c r="C24" s="38" t="s">
        <v>65</v>
      </c>
      <c r="D24" s="38" t="s">
        <v>237</v>
      </c>
      <c r="E24" s="40">
        <f>설계요소!BJ20</f>
        <v>555</v>
      </c>
      <c r="F24" s="40"/>
      <c r="G24" s="39"/>
      <c r="H24" s="39">
        <f>E24*설계요소!BD13</f>
        <v>377.40000000000003</v>
      </c>
      <c r="I24" s="39"/>
      <c r="J24" s="39">
        <f t="shared" si="15"/>
        <v>377.40000000000003</v>
      </c>
      <c r="O24" s="53"/>
      <c r="P24" s="44" t="s">
        <v>215</v>
      </c>
      <c r="Q24" s="44" t="s">
        <v>121</v>
      </c>
      <c r="R24" s="40">
        <f>설계요소!BK22</f>
        <v>400</v>
      </c>
      <c r="S24" s="40">
        <f>R24*G27</f>
        <v>1697.28</v>
      </c>
      <c r="T24" s="40">
        <f>R24*H28</f>
        <v>15488</v>
      </c>
      <c r="U24" s="40"/>
      <c r="V24" s="40">
        <f t="shared" si="8"/>
        <v>17185.28</v>
      </c>
    </row>
    <row r="25" spans="1:24" s="35" customFormat="1" ht="15.95" customHeight="1">
      <c r="A25" s="48"/>
      <c r="B25" s="50"/>
      <c r="C25" s="38" t="s">
        <v>143</v>
      </c>
      <c r="D25" s="38" t="s">
        <v>309</v>
      </c>
      <c r="E25" s="40">
        <f>E24</f>
        <v>555</v>
      </c>
      <c r="F25" s="40"/>
      <c r="G25" s="39"/>
      <c r="H25" s="39">
        <f>ROUND(E25*설계요소!BD14/100,2)</f>
        <v>13.49</v>
      </c>
      <c r="I25" s="39"/>
      <c r="J25" s="39">
        <f t="shared" si="15"/>
        <v>13.49</v>
      </c>
      <c r="O25" s="53"/>
      <c r="P25" s="44" t="s">
        <v>201</v>
      </c>
      <c r="Q25" s="44" t="s">
        <v>121</v>
      </c>
      <c r="R25" s="40"/>
      <c r="S25" s="40"/>
      <c r="T25" s="40"/>
      <c r="U25" s="40"/>
      <c r="V25" s="40">
        <f t="shared" si="8"/>
        <v>0</v>
      </c>
    </row>
    <row r="26" spans="1:24" s="35" customFormat="1" ht="15.95" customHeight="1">
      <c r="A26" s="48"/>
      <c r="B26" s="49" t="s">
        <v>12</v>
      </c>
      <c r="C26" s="125" t="s">
        <v>195</v>
      </c>
      <c r="D26" s="126"/>
      <c r="E26" s="39"/>
      <c r="F26" s="40"/>
      <c r="G26" s="39">
        <f>ROUND(G23*0.1,2)</f>
        <v>7.06</v>
      </c>
      <c r="H26" s="39">
        <f>ROUND(H24*0.1,2)</f>
        <v>37.74</v>
      </c>
      <c r="I26" s="39"/>
      <c r="J26" s="39">
        <f t="shared" si="15"/>
        <v>44.800000000000004</v>
      </c>
      <c r="O26" s="54"/>
      <c r="P26" s="38" t="s">
        <v>79</v>
      </c>
      <c r="Q26" s="44"/>
      <c r="R26" s="40"/>
      <c r="S26" s="40">
        <f>SUM(S19:S25)</f>
        <v>80693.679999999993</v>
      </c>
      <c r="T26" s="40">
        <f t="shared" ref="T26:V26" si="16">SUM(T19:T25)</f>
        <v>359656</v>
      </c>
      <c r="U26" s="40">
        <f t="shared" si="16"/>
        <v>0</v>
      </c>
      <c r="V26" s="40">
        <f t="shared" si="16"/>
        <v>440349.68000000005</v>
      </c>
    </row>
    <row r="27" spans="1:24" s="35" customFormat="1" ht="15.95" customHeight="1">
      <c r="A27" s="48"/>
      <c r="B27" s="49" t="s">
        <v>149</v>
      </c>
      <c r="C27" s="98" t="s">
        <v>229</v>
      </c>
      <c r="D27" s="38" t="s">
        <v>232</v>
      </c>
      <c r="E27" s="39">
        <f>설계요소!BJ22</f>
        <v>0.96</v>
      </c>
      <c r="F27" s="40"/>
      <c r="G27" s="39">
        <f>E27*설계요소!BB4</f>
        <v>4.2431999999999999</v>
      </c>
      <c r="H27" s="39"/>
      <c r="I27" s="39"/>
      <c r="J27" s="39">
        <f t="shared" si="15"/>
        <v>4.2431999999999999</v>
      </c>
      <c r="O27" s="52" t="s">
        <v>13</v>
      </c>
      <c r="P27" s="72" t="s">
        <v>14</v>
      </c>
      <c r="Q27" s="44" t="s">
        <v>121</v>
      </c>
      <c r="R27" s="40">
        <f>설계요소!BK24</f>
        <v>400</v>
      </c>
      <c r="S27" s="40">
        <f>R27*G30</f>
        <v>17680</v>
      </c>
      <c r="T27" s="40"/>
      <c r="U27" s="40"/>
      <c r="V27" s="40">
        <f>SUM(S27:U27)</f>
        <v>17680</v>
      </c>
    </row>
    <row r="28" spans="1:24" s="35" customFormat="1" ht="15.95" customHeight="1">
      <c r="A28" s="48"/>
      <c r="B28" s="51"/>
      <c r="C28" s="73" t="s">
        <v>150</v>
      </c>
      <c r="D28" s="43" t="s">
        <v>236</v>
      </c>
      <c r="E28" s="39">
        <f>설계요소!BJ23</f>
        <v>8</v>
      </c>
      <c r="F28" s="40"/>
      <c r="G28" s="39"/>
      <c r="H28" s="39">
        <f>E28*설계요소!BD15</f>
        <v>38.72</v>
      </c>
      <c r="I28" s="39"/>
      <c r="J28" s="39">
        <f t="shared" si="15"/>
        <v>38.72</v>
      </c>
      <c r="O28" s="53"/>
      <c r="P28" s="72" t="s">
        <v>68</v>
      </c>
      <c r="Q28" s="44" t="s">
        <v>121</v>
      </c>
      <c r="R28" s="40">
        <f>설계요소!BK25</f>
        <v>0</v>
      </c>
      <c r="S28" s="40">
        <f>R28*G31</f>
        <v>0</v>
      </c>
      <c r="T28" s="40"/>
      <c r="U28" s="40"/>
      <c r="V28" s="40">
        <f t="shared" ref="V28:V35" si="17">SUM(S28:U28)</f>
        <v>0</v>
      </c>
    </row>
    <row r="29" spans="1:24" s="35" customFormat="1" ht="15.95" customHeight="1">
      <c r="A29" s="48"/>
      <c r="B29" s="51" t="s">
        <v>79</v>
      </c>
      <c r="C29" s="42"/>
      <c r="D29" s="38"/>
      <c r="E29" s="39"/>
      <c r="F29" s="40"/>
      <c r="G29" s="39">
        <f t="shared" ref="G29" si="18">SUM(G19:G28)</f>
        <v>201.73419999999999</v>
      </c>
      <c r="H29" s="39">
        <f t="shared" ref="H29" si="19">SUM(H19:H28)</f>
        <v>899.1400000000001</v>
      </c>
      <c r="I29" s="39">
        <f t="shared" ref="I29" si="20">SUM(I19:I28)</f>
        <v>0</v>
      </c>
      <c r="J29" s="39">
        <f t="shared" ref="J29" si="21">SUM(J19:J28)</f>
        <v>1100.8742</v>
      </c>
      <c r="O29" s="53"/>
      <c r="P29" s="72" t="s">
        <v>155</v>
      </c>
      <c r="Q29" s="44" t="s">
        <v>121</v>
      </c>
      <c r="R29" s="40">
        <f>설계요소!BK26</f>
        <v>400</v>
      </c>
      <c r="S29" s="40">
        <f>R29*G32</f>
        <v>9724</v>
      </c>
      <c r="T29" s="40"/>
      <c r="U29" s="40"/>
      <c r="V29" s="40">
        <f t="shared" si="17"/>
        <v>9724</v>
      </c>
    </row>
    <row r="30" spans="1:24" s="35" customFormat="1" ht="15.95" customHeight="1">
      <c r="A30" s="52" t="s">
        <v>13</v>
      </c>
      <c r="B30" s="38" t="s">
        <v>261</v>
      </c>
      <c r="C30" s="38" t="s">
        <v>229</v>
      </c>
      <c r="D30" s="38" t="s">
        <v>310</v>
      </c>
      <c r="E30" s="39">
        <f>설계요소!BJ24</f>
        <v>5</v>
      </c>
      <c r="F30" s="82">
        <f>설계요소!BC20</f>
        <v>2</v>
      </c>
      <c r="G30" s="39">
        <f>E30*F30*설계요소!BB4</f>
        <v>44.2</v>
      </c>
      <c r="H30" s="39"/>
      <c r="I30" s="39"/>
      <c r="J30" s="39">
        <f t="shared" si="15"/>
        <v>44.2</v>
      </c>
      <c r="O30" s="53"/>
      <c r="P30" s="72" t="s">
        <v>16</v>
      </c>
      <c r="Q30" s="44" t="s">
        <v>121</v>
      </c>
      <c r="R30" s="40">
        <f>설계요소!BK27</f>
        <v>400</v>
      </c>
      <c r="S30" s="40">
        <f>R30*G33</f>
        <v>29200</v>
      </c>
      <c r="T30" s="40">
        <f>R30*H34</f>
        <v>132928</v>
      </c>
      <c r="U30" s="40"/>
      <c r="V30" s="40">
        <f t="shared" si="17"/>
        <v>162128</v>
      </c>
      <c r="X30" s="69"/>
    </row>
    <row r="31" spans="1:24" s="35" customFormat="1" ht="15.95" customHeight="1">
      <c r="A31" s="53"/>
      <c r="B31" s="38" t="s">
        <v>262</v>
      </c>
      <c r="C31" s="38" t="s">
        <v>229</v>
      </c>
      <c r="D31" s="38" t="s">
        <v>239</v>
      </c>
      <c r="E31" s="39">
        <f>설계요소!BJ25</f>
        <v>2.5</v>
      </c>
      <c r="F31" s="66">
        <v>0</v>
      </c>
      <c r="G31" s="39">
        <f>E31*F31*설계요소!W4</f>
        <v>0</v>
      </c>
      <c r="H31" s="39"/>
      <c r="I31" s="39"/>
      <c r="J31" s="39">
        <f t="shared" si="15"/>
        <v>0</v>
      </c>
      <c r="O31" s="53"/>
      <c r="P31" s="72" t="s">
        <v>18</v>
      </c>
      <c r="Q31" s="44" t="s">
        <v>121</v>
      </c>
      <c r="R31" s="40">
        <f>설계요소!BK29</f>
        <v>400</v>
      </c>
      <c r="S31" s="40">
        <f>R31*G35</f>
        <v>3076</v>
      </c>
      <c r="T31" s="40">
        <f>R31*H35</f>
        <v>6188</v>
      </c>
      <c r="U31" s="40">
        <f>R31*I35</f>
        <v>8732</v>
      </c>
      <c r="V31" s="40">
        <f t="shared" si="17"/>
        <v>17996</v>
      </c>
    </row>
    <row r="32" spans="1:24" s="35" customFormat="1" ht="15.95" customHeight="1">
      <c r="A32" s="53"/>
      <c r="B32" s="38" t="s">
        <v>169</v>
      </c>
      <c r="C32" s="38" t="s">
        <v>229</v>
      </c>
      <c r="D32" s="38" t="s">
        <v>232</v>
      </c>
      <c r="E32" s="39">
        <f>설계요소!BJ26</f>
        <v>5.5</v>
      </c>
      <c r="F32" s="40"/>
      <c r="G32" s="39">
        <f>E32*설계요소!BB4</f>
        <v>24.31</v>
      </c>
      <c r="H32" s="39"/>
      <c r="I32" s="39"/>
      <c r="J32" s="39">
        <f t="shared" ref="J32:J40" si="22">SUM(G32:I32)</f>
        <v>24.31</v>
      </c>
      <c r="O32" s="53"/>
      <c r="P32" s="72" t="s">
        <v>206</v>
      </c>
      <c r="Q32" s="44" t="s">
        <v>121</v>
      </c>
      <c r="R32" s="83">
        <f>설계요소!BK30</f>
        <v>0</v>
      </c>
      <c r="S32" s="40">
        <f>R32*G36</f>
        <v>0</v>
      </c>
      <c r="T32" s="40">
        <f>R32*H37</f>
        <v>0</v>
      </c>
      <c r="U32" s="40"/>
      <c r="V32" s="40">
        <f t="shared" si="17"/>
        <v>0</v>
      </c>
    </row>
    <row r="33" spans="1:24" s="35" customFormat="1" ht="15.95" customHeight="1">
      <c r="A33" s="53"/>
      <c r="B33" s="50" t="s">
        <v>16</v>
      </c>
      <c r="C33" s="38" t="s">
        <v>229</v>
      </c>
      <c r="D33" s="38" t="s">
        <v>75</v>
      </c>
      <c r="E33" s="39">
        <f>설계요소!BJ27</f>
        <v>3.33</v>
      </c>
      <c r="F33" s="40">
        <f>설계요소!BC22</f>
        <v>2</v>
      </c>
      <c r="G33" s="39">
        <f>ROUND((E33*E34)/100*F33*설계요소!BB4,2)</f>
        <v>73</v>
      </c>
      <c r="H33" s="39"/>
      <c r="I33" s="39"/>
      <c r="J33" s="39">
        <f t="shared" si="22"/>
        <v>73</v>
      </c>
      <c r="O33" s="53"/>
      <c r="P33" s="72" t="s">
        <v>179</v>
      </c>
      <c r="Q33" s="44" t="s">
        <v>121</v>
      </c>
      <c r="R33" s="83">
        <f>설계요소!BK32</f>
        <v>0</v>
      </c>
      <c r="S33" s="40">
        <f>R33*G38</f>
        <v>0</v>
      </c>
      <c r="T33" s="40"/>
      <c r="U33" s="40"/>
      <c r="V33" s="40">
        <f t="shared" si="17"/>
        <v>0</v>
      </c>
    </row>
    <row r="34" spans="1:24" s="35" customFormat="1" ht="15.95" customHeight="1">
      <c r="A34" s="53"/>
      <c r="B34" s="50"/>
      <c r="C34" s="38" t="s">
        <v>72</v>
      </c>
      <c r="D34" s="43" t="s">
        <v>236</v>
      </c>
      <c r="E34" s="39">
        <f>설계요소!BJ28</f>
        <v>248</v>
      </c>
      <c r="F34" s="40">
        <f>설계요소!BC22</f>
        <v>2</v>
      </c>
      <c r="G34" s="39"/>
      <c r="H34" s="39">
        <f>ROUND(E34*F34*설계요소!BD10/50,2)</f>
        <v>332.32</v>
      </c>
      <c r="I34" s="39"/>
      <c r="J34" s="39">
        <f t="shared" si="22"/>
        <v>332.32</v>
      </c>
      <c r="O34" s="53"/>
      <c r="P34" s="44" t="s">
        <v>226</v>
      </c>
      <c r="Q34" s="44" t="s">
        <v>121</v>
      </c>
      <c r="R34" s="83">
        <f>설계요소!BK33</f>
        <v>0</v>
      </c>
      <c r="S34" s="40">
        <f>R34*G39</f>
        <v>0</v>
      </c>
      <c r="T34" s="40">
        <f>R34*H39</f>
        <v>0</v>
      </c>
      <c r="U34" s="40">
        <f>R34*I39</f>
        <v>0</v>
      </c>
      <c r="V34" s="40">
        <f t="shared" si="17"/>
        <v>0</v>
      </c>
    </row>
    <row r="35" spans="1:24" s="35" customFormat="1" ht="15.95" customHeight="1">
      <c r="A35" s="53"/>
      <c r="B35" s="38" t="s">
        <v>18</v>
      </c>
      <c r="C35" s="38" t="s">
        <v>156</v>
      </c>
      <c r="D35" s="38" t="s">
        <v>234</v>
      </c>
      <c r="E35" s="39">
        <f>설계요소!BJ29</f>
        <v>0.5</v>
      </c>
      <c r="F35" s="40"/>
      <c r="G35" s="39">
        <f>E35*기계경비!E91</f>
        <v>7.69</v>
      </c>
      <c r="H35" s="39">
        <f>E35*기계경비!F91</f>
        <v>15.47</v>
      </c>
      <c r="I35" s="39">
        <f>E35*기계경비!G91</f>
        <v>21.83</v>
      </c>
      <c r="J35" s="39">
        <f t="shared" si="22"/>
        <v>44.989999999999995</v>
      </c>
      <c r="O35" s="53"/>
      <c r="P35" s="72" t="s">
        <v>174</v>
      </c>
      <c r="Q35" s="44" t="s">
        <v>121</v>
      </c>
      <c r="R35" s="44"/>
      <c r="S35" s="40"/>
      <c r="T35" s="40"/>
      <c r="U35" s="40"/>
      <c r="V35" s="40">
        <f t="shared" si="17"/>
        <v>0</v>
      </c>
    </row>
    <row r="36" spans="1:24" s="35" customFormat="1" ht="15.95" customHeight="1">
      <c r="A36" s="53"/>
      <c r="B36" s="49" t="s">
        <v>177</v>
      </c>
      <c r="C36" s="38" t="s">
        <v>229</v>
      </c>
      <c r="D36" s="43" t="s">
        <v>232</v>
      </c>
      <c r="E36" s="39">
        <f>설계요소!BJ30</f>
        <v>4</v>
      </c>
      <c r="F36" s="40"/>
      <c r="G36" s="39">
        <f>E36*설계요소!BB4</f>
        <v>17.68</v>
      </c>
      <c r="H36" s="39"/>
      <c r="I36" s="39"/>
      <c r="J36" s="39">
        <f t="shared" si="22"/>
        <v>17.68</v>
      </c>
      <c r="O36" s="54"/>
      <c r="P36" s="72" t="s">
        <v>79</v>
      </c>
      <c r="Q36" s="44" t="s">
        <v>121</v>
      </c>
      <c r="R36" s="40"/>
      <c r="S36" s="40">
        <f>SUM(S27:S35)</f>
        <v>59680</v>
      </c>
      <c r="T36" s="40">
        <f t="shared" ref="T36:V36" si="23">SUM(T27:T35)</f>
        <v>139116</v>
      </c>
      <c r="U36" s="40">
        <f t="shared" si="23"/>
        <v>8732</v>
      </c>
      <c r="V36" s="40">
        <f t="shared" si="23"/>
        <v>207528</v>
      </c>
    </row>
    <row r="37" spans="1:24" s="35" customFormat="1" ht="15.95" customHeight="1">
      <c r="A37" s="53"/>
      <c r="B37" s="51"/>
      <c r="C37" s="38" t="s">
        <v>178</v>
      </c>
      <c r="D37" s="38" t="s">
        <v>286</v>
      </c>
      <c r="E37" s="39">
        <f>설계요소!BJ31</f>
        <v>4.18</v>
      </c>
      <c r="F37" s="40"/>
      <c r="G37" s="39"/>
      <c r="H37" s="39">
        <f>E37*설계요소!BD12</f>
        <v>24.118599999999997</v>
      </c>
      <c r="I37" s="39"/>
      <c r="J37" s="39">
        <f t="shared" si="22"/>
        <v>24.118599999999997</v>
      </c>
      <c r="O37" s="52" t="s">
        <v>77</v>
      </c>
      <c r="P37" s="38" t="s">
        <v>19</v>
      </c>
      <c r="Q37" s="44" t="s">
        <v>121</v>
      </c>
      <c r="R37" s="40">
        <f>설계요소!BK34</f>
        <v>400</v>
      </c>
      <c r="S37" s="40">
        <f>R37*G42</f>
        <v>707.2</v>
      </c>
      <c r="T37" s="40">
        <f>R37*H43</f>
        <v>3484.7999999999997</v>
      </c>
      <c r="U37" s="40"/>
      <c r="V37" s="40">
        <f t="shared" ref="V37:V39" si="24">SUM(S37:U37)</f>
        <v>4192</v>
      </c>
    </row>
    <row r="38" spans="1:24" s="35" customFormat="1" ht="15.95" customHeight="1">
      <c r="A38" s="53"/>
      <c r="B38" s="38" t="s">
        <v>179</v>
      </c>
      <c r="C38" s="38" t="s">
        <v>229</v>
      </c>
      <c r="D38" s="38" t="s">
        <v>232</v>
      </c>
      <c r="E38" s="39">
        <f>설계요소!BJ32</f>
        <v>3.6</v>
      </c>
      <c r="F38" s="40"/>
      <c r="G38" s="39">
        <f>E38*설계요소!BB4</f>
        <v>15.912000000000001</v>
      </c>
      <c r="H38" s="39"/>
      <c r="I38" s="39"/>
      <c r="J38" s="39">
        <f t="shared" si="22"/>
        <v>15.912000000000001</v>
      </c>
      <c r="O38" s="53" t="s">
        <v>78</v>
      </c>
      <c r="P38" s="38" t="s">
        <v>76</v>
      </c>
      <c r="Q38" s="44" t="s">
        <v>292</v>
      </c>
      <c r="R38" s="40">
        <f>설계요소!BK36</f>
        <v>1</v>
      </c>
      <c r="S38" s="40">
        <f>R38*G44*26*12</f>
        <v>13790.400000000001</v>
      </c>
      <c r="T38" s="40"/>
      <c r="U38" s="40"/>
      <c r="V38" s="40">
        <f t="shared" si="24"/>
        <v>13790.400000000001</v>
      </c>
    </row>
    <row r="39" spans="1:24" s="35" customFormat="1" ht="15.95" customHeight="1">
      <c r="A39" s="53"/>
      <c r="B39" s="50" t="s">
        <v>226</v>
      </c>
      <c r="C39" s="38" t="s">
        <v>243</v>
      </c>
      <c r="D39" s="38" t="s">
        <v>242</v>
      </c>
      <c r="E39" s="39">
        <f>설계요소!BJ33</f>
        <v>3.7</v>
      </c>
      <c r="F39" s="40"/>
      <c r="G39" s="39">
        <f>E39*기계경비!E76</f>
        <v>28.453000000000003</v>
      </c>
      <c r="H39" s="39">
        <f>E39*기계경비!F76</f>
        <v>40.404000000000003</v>
      </c>
      <c r="I39" s="39">
        <f>E39*기계경비!G76</f>
        <v>28.268000000000001</v>
      </c>
      <c r="J39" s="39">
        <f t="shared" si="22"/>
        <v>97.125</v>
      </c>
      <c r="O39" s="53"/>
      <c r="P39" s="44" t="s">
        <v>201</v>
      </c>
      <c r="Q39" s="44"/>
      <c r="R39" s="44"/>
      <c r="S39" s="44"/>
      <c r="T39" s="44"/>
      <c r="U39" s="44"/>
      <c r="V39" s="40">
        <f t="shared" si="24"/>
        <v>0</v>
      </c>
    </row>
    <row r="40" spans="1:24" s="35" customFormat="1" ht="15.95" customHeight="1">
      <c r="A40" s="53"/>
      <c r="B40" s="49" t="s">
        <v>174</v>
      </c>
      <c r="C40" s="38"/>
      <c r="D40" s="38"/>
      <c r="E40" s="39"/>
      <c r="F40" s="40"/>
      <c r="G40" s="39"/>
      <c r="H40" s="39"/>
      <c r="I40" s="39"/>
      <c r="J40" s="39">
        <f t="shared" si="22"/>
        <v>0</v>
      </c>
      <c r="O40" s="54"/>
      <c r="P40" s="38" t="s">
        <v>79</v>
      </c>
      <c r="Q40" s="44"/>
      <c r="R40" s="40"/>
      <c r="S40" s="40">
        <f>SUM(S37:S39)</f>
        <v>14497.600000000002</v>
      </c>
      <c r="T40" s="40">
        <f t="shared" ref="T40:V40" si="25">SUM(T37:T39)</f>
        <v>3484.7999999999997</v>
      </c>
      <c r="U40" s="40">
        <f t="shared" si="25"/>
        <v>0</v>
      </c>
      <c r="V40" s="40">
        <f t="shared" si="25"/>
        <v>17982.400000000001</v>
      </c>
    </row>
    <row r="41" spans="1:24" s="35" customFormat="1" ht="15.95" customHeight="1">
      <c r="A41" s="54"/>
      <c r="B41" s="49" t="s">
        <v>79</v>
      </c>
      <c r="C41" s="38"/>
      <c r="D41" s="38"/>
      <c r="E41" s="39"/>
      <c r="F41" s="40"/>
      <c r="G41" s="39">
        <f t="shared" ref="G41" si="26">SUM(G30:G40)</f>
        <v>211.245</v>
      </c>
      <c r="H41" s="40">
        <f t="shared" ref="H41" si="27">SUM(H30:H40)</f>
        <v>412.31260000000003</v>
      </c>
      <c r="I41" s="39">
        <f t="shared" ref="I41" si="28">SUM(I30:I40)</f>
        <v>50.097999999999999</v>
      </c>
      <c r="J41" s="39">
        <f t="shared" ref="J41" si="29">SUM(J30:J40)</f>
        <v>673.65559999999994</v>
      </c>
      <c r="O41" s="91" t="s">
        <v>294</v>
      </c>
      <c r="P41" s="92"/>
      <c r="Q41" s="44"/>
      <c r="R41" s="40"/>
      <c r="S41" s="40">
        <f>S40+S36+S26+S18+S10</f>
        <v>209607.28</v>
      </c>
      <c r="T41" s="40">
        <f t="shared" ref="T41:V41" si="30">T40+T36+T26+T18+T10</f>
        <v>502256.8</v>
      </c>
      <c r="U41" s="40">
        <f t="shared" si="30"/>
        <v>256072</v>
      </c>
      <c r="V41" s="40">
        <f t="shared" si="30"/>
        <v>967936.08000000007</v>
      </c>
      <c r="X41" s="69"/>
    </row>
    <row r="42" spans="1:24" s="35" customFormat="1" ht="15.95" customHeight="1">
      <c r="A42" s="47" t="s">
        <v>77</v>
      </c>
      <c r="B42" s="49" t="s">
        <v>19</v>
      </c>
      <c r="C42" s="72" t="s">
        <v>229</v>
      </c>
      <c r="D42" s="38" t="s">
        <v>232</v>
      </c>
      <c r="E42" s="39">
        <f>설계요소!BJ34</f>
        <v>0.4</v>
      </c>
      <c r="F42" s="40"/>
      <c r="G42" s="39">
        <f>E42*설계요소!BB4</f>
        <v>1.768</v>
      </c>
      <c r="H42" s="39"/>
      <c r="I42" s="39"/>
      <c r="J42" s="39">
        <f t="shared" ref="J42:J45" si="31">SUM(G42:I42)</f>
        <v>1.768</v>
      </c>
      <c r="O42" s="52" t="s">
        <v>124</v>
      </c>
      <c r="P42" s="44" t="s">
        <v>122</v>
      </c>
      <c r="Q42" s="44"/>
      <c r="R42" s="40"/>
      <c r="S42" s="40"/>
      <c r="T42" s="40"/>
      <c r="U42" s="40"/>
      <c r="V42" s="40">
        <f>ROUND(S41*설계요소!BE26,0)</f>
        <v>22218</v>
      </c>
    </row>
    <row r="43" spans="1:24" s="35" customFormat="1" ht="15.95" customHeight="1">
      <c r="A43" s="53" t="s">
        <v>78</v>
      </c>
      <c r="B43" s="51"/>
      <c r="C43" s="72" t="s">
        <v>71</v>
      </c>
      <c r="D43" s="38" t="s">
        <v>240</v>
      </c>
      <c r="E43" s="39">
        <f>설계요소!BJ35</f>
        <v>1.8</v>
      </c>
      <c r="F43" s="40"/>
      <c r="G43" s="39"/>
      <c r="H43" s="39">
        <f>E43*설계요소!BD16</f>
        <v>8.7119999999999997</v>
      </c>
      <c r="I43" s="39"/>
      <c r="J43" s="39">
        <f t="shared" si="31"/>
        <v>8.7119999999999997</v>
      </c>
      <c r="O43" s="53"/>
      <c r="P43" s="44" t="s">
        <v>112</v>
      </c>
      <c r="Q43" s="44"/>
      <c r="R43" s="40"/>
      <c r="S43" s="40"/>
      <c r="T43" s="40"/>
      <c r="U43" s="40"/>
      <c r="V43" s="40">
        <f>ROUND((S41+T41+U41+V42)*설계요소!BE27,0)</f>
        <v>59409</v>
      </c>
    </row>
    <row r="44" spans="1:24" s="35" customFormat="1" ht="15.95" customHeight="1">
      <c r="A44" s="53"/>
      <c r="B44" s="51" t="s">
        <v>76</v>
      </c>
      <c r="C44" s="38" t="s">
        <v>229</v>
      </c>
      <c r="D44" s="38" t="s">
        <v>291</v>
      </c>
      <c r="E44" s="39">
        <f>설계요소!BJ36</f>
        <v>10</v>
      </c>
      <c r="F44" s="40"/>
      <c r="G44" s="39">
        <f>E44*설계요소!BB4</f>
        <v>44.2</v>
      </c>
      <c r="H44" s="39"/>
      <c r="I44" s="39"/>
      <c r="J44" s="39">
        <f t="shared" si="31"/>
        <v>44.2</v>
      </c>
      <c r="O44" s="57"/>
      <c r="P44" s="56" t="s">
        <v>139</v>
      </c>
      <c r="Q44" s="44"/>
      <c r="R44" s="40"/>
      <c r="S44" s="40"/>
      <c r="T44" s="40"/>
      <c r="U44" s="40"/>
      <c r="V44" s="40">
        <f>(S41+V42)*설계요소!BE28</f>
        <v>30137.286400000001</v>
      </c>
    </row>
    <row r="45" spans="1:24" s="35" customFormat="1" ht="15.95" customHeight="1">
      <c r="A45" s="53"/>
      <c r="B45" s="51" t="s">
        <v>174</v>
      </c>
      <c r="C45" s="38"/>
      <c r="D45" s="38"/>
      <c r="E45" s="39"/>
      <c r="F45" s="40"/>
      <c r="G45" s="39"/>
      <c r="H45" s="39"/>
      <c r="I45" s="39"/>
      <c r="J45" s="39">
        <f t="shared" si="31"/>
        <v>0</v>
      </c>
      <c r="O45" s="119" t="s">
        <v>125</v>
      </c>
      <c r="P45" s="120"/>
      <c r="Q45" s="44"/>
      <c r="R45" s="40"/>
      <c r="S45" s="40"/>
      <c r="T45" s="40"/>
      <c r="U45" s="40"/>
      <c r="V45" s="40">
        <f>V44+V43+V42+V41</f>
        <v>1079700.3664000002</v>
      </c>
    </row>
    <row r="46" spans="1:24" s="35" customFormat="1" ht="15.95" customHeight="1">
      <c r="A46" s="54"/>
      <c r="B46" s="38" t="s">
        <v>79</v>
      </c>
      <c r="C46" s="44"/>
      <c r="D46" s="44"/>
      <c r="E46" s="44"/>
      <c r="F46" s="44"/>
      <c r="G46" s="45">
        <f t="shared" ref="G46" si="32">SUM(G42:G45)</f>
        <v>45.968000000000004</v>
      </c>
      <c r="H46" s="45">
        <f t="shared" ref="H46" si="33">SUM(H42:H45)</f>
        <v>8.7119999999999997</v>
      </c>
      <c r="I46" s="45">
        <f t="shared" ref="I46" si="34">SUM(I42:I45)</f>
        <v>0</v>
      </c>
      <c r="J46" s="45">
        <f t="shared" ref="J46" si="35">SUM(J42:J45)</f>
        <v>54.680000000000007</v>
      </c>
      <c r="O46" s="35" t="s">
        <v>313</v>
      </c>
      <c r="P46" s="76"/>
      <c r="Q46" s="76"/>
      <c r="R46" s="76"/>
      <c r="S46" s="76"/>
      <c r="T46" s="76"/>
      <c r="U46" s="106" t="s">
        <v>293</v>
      </c>
      <c r="V46" s="105">
        <f>V45/400</f>
        <v>2699.2509160000004</v>
      </c>
    </row>
    <row r="47" spans="1:24" s="35" customFormat="1" ht="15.95" customHeight="1">
      <c r="A47" s="128" t="s">
        <v>35</v>
      </c>
      <c r="B47" s="129"/>
      <c r="C47" s="44"/>
      <c r="D47" s="44"/>
      <c r="E47" s="44"/>
      <c r="F47" s="44"/>
      <c r="G47" s="46">
        <f t="shared" ref="G47" si="36">G46+G41+G29+G18+G10</f>
        <v>684.97720000000004</v>
      </c>
      <c r="H47" s="40">
        <f t="shared" ref="H47" si="37">H46+H41+H29+H18+H10</f>
        <v>1526.7146</v>
      </c>
      <c r="I47" s="46">
        <f t="shared" ref="I47" si="38">I46+I41+I29+I18+I10</f>
        <v>363.15800000000002</v>
      </c>
      <c r="J47" s="46">
        <f t="shared" ref="J47" si="39">J46+J41+J29+J18+J10</f>
        <v>2574.8497999999995</v>
      </c>
      <c r="W47"/>
    </row>
    <row r="48" spans="1:24" s="35" customFormat="1" ht="15.95" customHeight="1">
      <c r="O48"/>
      <c r="P48"/>
      <c r="Q48"/>
      <c r="R48"/>
      <c r="S48"/>
      <c r="T48"/>
      <c r="U48"/>
      <c r="V48"/>
      <c r="W48"/>
    </row>
    <row r="49" spans="10:23" ht="15" customHeight="1">
      <c r="O49"/>
      <c r="P49"/>
      <c r="Q49"/>
      <c r="R49"/>
      <c r="S49"/>
      <c r="T49"/>
      <c r="U49"/>
      <c r="V49" s="107"/>
      <c r="W49"/>
    </row>
    <row r="50" spans="10:23" ht="15" customHeight="1">
      <c r="O50"/>
      <c r="P50"/>
      <c r="Q50"/>
      <c r="R50"/>
      <c r="S50"/>
      <c r="T50"/>
      <c r="U50"/>
      <c r="V50" s="107"/>
      <c r="W50"/>
    </row>
    <row r="51" spans="10:23" ht="15" customHeight="1">
      <c r="J51" s="101"/>
      <c r="O51"/>
      <c r="P51"/>
      <c r="Q51"/>
      <c r="R51"/>
      <c r="S51"/>
      <c r="T51"/>
      <c r="U51"/>
      <c r="V51"/>
      <c r="W51"/>
    </row>
    <row r="52" spans="10:23" ht="15" customHeight="1">
      <c r="O52"/>
      <c r="P52"/>
      <c r="Q52"/>
      <c r="R52"/>
      <c r="S52"/>
      <c r="T52"/>
      <c r="U52"/>
      <c r="V52"/>
      <c r="W52"/>
    </row>
    <row r="53" spans="10:23" ht="15" customHeight="1">
      <c r="O53" s="2"/>
      <c r="P53" s="2"/>
      <c r="Q53" s="2"/>
      <c r="R53" s="2"/>
      <c r="S53" s="2"/>
      <c r="T53" s="2"/>
      <c r="U53" s="2"/>
      <c r="V53" s="2"/>
      <c r="W53" s="2"/>
    </row>
    <row r="54" spans="10:23" ht="15.95" customHeight="1"/>
    <row r="55" spans="10:23" ht="15.95" customHeight="1"/>
    <row r="56" spans="10:23" ht="15.95" customHeight="1">
      <c r="O56" s="35"/>
      <c r="U56" s="10"/>
      <c r="V56" s="8"/>
    </row>
  </sheetData>
  <mergeCells count="8">
    <mergeCell ref="A47:B47"/>
    <mergeCell ref="A1:J1"/>
    <mergeCell ref="O1:V1"/>
    <mergeCell ref="A2:C2"/>
    <mergeCell ref="O2:Q2"/>
    <mergeCell ref="C5:D5"/>
    <mergeCell ref="C26:D26"/>
    <mergeCell ref="O45:P45"/>
  </mergeCells>
  <phoneticPr fontId="2" type="noConversion"/>
  <pageMargins left="0.38" right="0.42" top="0.41" bottom="0.3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workbookViewId="0">
      <selection activeCell="J17" sqref="J17"/>
    </sheetView>
  </sheetViews>
  <sheetFormatPr defaultRowHeight="20.100000000000001" customHeight="1"/>
  <cols>
    <col min="1" max="1" width="8.5" style="76" bestFit="1" customWidth="1"/>
    <col min="2" max="2" width="11.875" style="76" customWidth="1"/>
    <col min="3" max="3" width="7.375" style="76" customWidth="1"/>
    <col min="4" max="4" width="7.125" style="76" customWidth="1"/>
    <col min="5" max="5" width="7.625" style="76" bestFit="1" customWidth="1"/>
    <col min="6" max="6" width="5" style="76" bestFit="1" customWidth="1"/>
    <col min="7" max="8" width="10.25" style="76" bestFit="1" customWidth="1"/>
    <col min="9" max="9" width="8.5" style="76" bestFit="1" customWidth="1"/>
    <col min="10" max="10" width="10.25" style="76" bestFit="1" customWidth="1"/>
    <col min="11" max="11" width="0" style="76" hidden="1" customWidth="1"/>
    <col min="12" max="12" width="10.25" style="76" hidden="1" customWidth="1"/>
    <col min="13" max="13" width="0" style="76" hidden="1" customWidth="1"/>
    <col min="14" max="14" width="1.625" style="76" customWidth="1"/>
    <col min="15" max="15" width="8.5" style="76" bestFit="1" customWidth="1"/>
    <col min="16" max="16" width="16.125" style="76" bestFit="1" customWidth="1"/>
    <col min="17" max="17" width="5" style="76" bestFit="1" customWidth="1"/>
    <col min="18" max="18" width="8.5" style="76" bestFit="1" customWidth="1"/>
    <col min="19" max="20" width="11.25" style="76" bestFit="1" customWidth="1"/>
    <col min="21" max="21" width="9.375" style="76" bestFit="1" customWidth="1"/>
    <col min="22" max="22" width="12.75" style="76" bestFit="1" customWidth="1"/>
    <col min="23" max="16384" width="9" style="76"/>
  </cols>
  <sheetData>
    <row r="1" spans="1:22" ht="25.5">
      <c r="A1" s="124" t="s">
        <v>111</v>
      </c>
      <c r="B1" s="124"/>
      <c r="C1" s="124"/>
      <c r="D1" s="124"/>
      <c r="E1" s="124"/>
      <c r="F1" s="124"/>
      <c r="G1" s="124"/>
      <c r="H1" s="124"/>
      <c r="I1" s="124"/>
      <c r="J1" s="124"/>
      <c r="O1" s="124" t="s">
        <v>120</v>
      </c>
      <c r="P1" s="124"/>
      <c r="Q1" s="124"/>
      <c r="R1" s="124"/>
      <c r="S1" s="124"/>
      <c r="T1" s="124"/>
      <c r="U1" s="124"/>
      <c r="V1" s="124"/>
    </row>
    <row r="2" spans="1:22" ht="15.95" customHeight="1">
      <c r="A2" s="97" t="s">
        <v>370</v>
      </c>
      <c r="B2" s="97"/>
      <c r="C2" s="97"/>
      <c r="G2" s="77"/>
      <c r="H2" s="77"/>
      <c r="I2" s="77"/>
      <c r="J2" s="77"/>
      <c r="K2" s="77"/>
      <c r="L2" s="77"/>
      <c r="M2" s="77"/>
      <c r="N2" s="77"/>
      <c r="O2" s="97" t="str">
        <f>A2</f>
        <v>기타지역 장기수 조림</v>
      </c>
      <c r="P2" s="97"/>
      <c r="Q2" s="97"/>
    </row>
    <row r="3" spans="1:22" s="35" customFormat="1" ht="15" customHeight="1">
      <c r="A3" s="95" t="s">
        <v>24</v>
      </c>
      <c r="B3" s="95" t="s">
        <v>0</v>
      </c>
      <c r="C3" s="36" t="s">
        <v>23</v>
      </c>
      <c r="D3" s="95" t="s">
        <v>20</v>
      </c>
      <c r="E3" s="95" t="s">
        <v>247</v>
      </c>
      <c r="F3" s="95" t="s">
        <v>70</v>
      </c>
      <c r="G3" s="95" t="s">
        <v>28</v>
      </c>
      <c r="H3" s="95" t="s">
        <v>29</v>
      </c>
      <c r="I3" s="95" t="s">
        <v>30</v>
      </c>
      <c r="J3" s="95" t="s">
        <v>64</v>
      </c>
      <c r="O3" s="95" t="s">
        <v>24</v>
      </c>
      <c r="P3" s="95" t="s">
        <v>0</v>
      </c>
      <c r="Q3" s="95" t="s">
        <v>20</v>
      </c>
      <c r="R3" s="95" t="s">
        <v>21</v>
      </c>
      <c r="S3" s="95" t="s">
        <v>28</v>
      </c>
      <c r="T3" s="95" t="s">
        <v>29</v>
      </c>
      <c r="U3" s="95" t="s">
        <v>30</v>
      </c>
      <c r="V3" s="95" t="s">
        <v>64</v>
      </c>
    </row>
    <row r="4" spans="1:22" s="35" customFormat="1" ht="15" customHeight="1">
      <c r="A4" s="47" t="s">
        <v>1</v>
      </c>
      <c r="B4" s="38" t="s">
        <v>2</v>
      </c>
      <c r="C4" s="38" t="s">
        <v>277</v>
      </c>
      <c r="D4" s="38" t="s">
        <v>333</v>
      </c>
      <c r="E4" s="39">
        <v>1</v>
      </c>
      <c r="F4" s="40"/>
      <c r="G4" s="39"/>
      <c r="H4" s="39"/>
      <c r="I4" s="39">
        <v>40</v>
      </c>
      <c r="J4" s="39">
        <f t="shared" ref="J4:J17" si="0">SUM(G4:I4)</f>
        <v>40</v>
      </c>
      <c r="L4" s="35" t="s">
        <v>80</v>
      </c>
      <c r="O4" s="52" t="s">
        <v>1</v>
      </c>
      <c r="P4" s="38" t="s">
        <v>2</v>
      </c>
      <c r="Q4" s="44" t="s">
        <v>22</v>
      </c>
      <c r="R4" s="82">
        <f>설계요소!BV4</f>
        <v>10000</v>
      </c>
      <c r="S4" s="40"/>
      <c r="T4" s="40"/>
      <c r="U4" s="40">
        <f>ROUND(I4*R4,0)</f>
        <v>400000</v>
      </c>
      <c r="V4" s="40">
        <f>SUM(S4:U4)</f>
        <v>400000</v>
      </c>
    </row>
    <row r="5" spans="1:22" s="35" customFormat="1" ht="15" customHeight="1">
      <c r="A5" s="48"/>
      <c r="B5" s="38" t="s">
        <v>3</v>
      </c>
      <c r="C5" s="117" t="s">
        <v>334</v>
      </c>
      <c r="D5" s="118"/>
      <c r="E5" s="39">
        <v>1</v>
      </c>
      <c r="F5" s="40"/>
      <c r="G5" s="39"/>
      <c r="H5" s="39"/>
      <c r="I5" s="39">
        <f>ROUND(I4*0.3,2)</f>
        <v>12</v>
      </c>
      <c r="J5" s="39">
        <f t="shared" si="0"/>
        <v>12</v>
      </c>
      <c r="L5" s="35" t="s">
        <v>81</v>
      </c>
      <c r="O5" s="53"/>
      <c r="P5" s="38" t="s">
        <v>3</v>
      </c>
      <c r="Q5" s="44" t="s">
        <v>22</v>
      </c>
      <c r="R5" s="82">
        <f>설계요소!BV5</f>
        <v>10000</v>
      </c>
      <c r="S5" s="40"/>
      <c r="T5" s="40"/>
      <c r="U5" s="40">
        <f>ROUND(I5*R5,0)</f>
        <v>120000</v>
      </c>
      <c r="V5" s="40">
        <f t="shared" ref="V5:V9" si="1">SUM(S5:U5)</f>
        <v>120000</v>
      </c>
    </row>
    <row r="6" spans="1:22" s="35" customFormat="1" ht="15" customHeight="1">
      <c r="A6" s="48"/>
      <c r="B6" s="38" t="s">
        <v>173</v>
      </c>
      <c r="C6" s="93" t="s">
        <v>213</v>
      </c>
      <c r="D6" s="38" t="s">
        <v>333</v>
      </c>
      <c r="E6" s="39">
        <v>1</v>
      </c>
      <c r="F6" s="40"/>
      <c r="G6" s="39"/>
      <c r="H6" s="39"/>
      <c r="I6" s="39">
        <v>1.36</v>
      </c>
      <c r="J6" s="39">
        <f t="shared" si="0"/>
        <v>1.36</v>
      </c>
      <c r="O6" s="53"/>
      <c r="P6" s="38" t="s">
        <v>173</v>
      </c>
      <c r="Q6" s="44" t="s">
        <v>22</v>
      </c>
      <c r="R6" s="82">
        <f>설계요소!BV6</f>
        <v>0</v>
      </c>
      <c r="S6" s="40"/>
      <c r="T6" s="40"/>
      <c r="U6" s="40">
        <f t="shared" ref="U6:U9" si="2">ROUND(I6*R6,0)</f>
        <v>0</v>
      </c>
      <c r="V6" s="40">
        <f t="shared" si="1"/>
        <v>0</v>
      </c>
    </row>
    <row r="7" spans="1:22" s="35" customFormat="1" ht="15" customHeight="1">
      <c r="A7" s="48"/>
      <c r="B7" s="38" t="s">
        <v>172</v>
      </c>
      <c r="C7" s="93" t="s">
        <v>213</v>
      </c>
      <c r="D7" s="38" t="s">
        <v>333</v>
      </c>
      <c r="E7" s="39">
        <v>1</v>
      </c>
      <c r="F7" s="40"/>
      <c r="G7" s="39"/>
      <c r="H7" s="39"/>
      <c r="I7" s="39">
        <v>1.25</v>
      </c>
      <c r="J7" s="39">
        <f t="shared" si="0"/>
        <v>1.25</v>
      </c>
      <c r="O7" s="53"/>
      <c r="P7" s="38" t="s">
        <v>172</v>
      </c>
      <c r="Q7" s="44" t="s">
        <v>22</v>
      </c>
      <c r="R7" s="82">
        <f>설계요소!BV7</f>
        <v>0</v>
      </c>
      <c r="S7" s="40"/>
      <c r="T7" s="40"/>
      <c r="U7" s="40">
        <f t="shared" si="2"/>
        <v>0</v>
      </c>
      <c r="V7" s="40">
        <f t="shared" si="1"/>
        <v>0</v>
      </c>
    </row>
    <row r="8" spans="1:22" s="35" customFormat="1" ht="15" customHeight="1">
      <c r="A8" s="48"/>
      <c r="B8" s="38" t="s">
        <v>144</v>
      </c>
      <c r="C8" s="93" t="s">
        <v>230</v>
      </c>
      <c r="D8" s="38" t="s">
        <v>364</v>
      </c>
      <c r="E8" s="39">
        <v>1</v>
      </c>
      <c r="F8" s="40"/>
      <c r="G8" s="39">
        <f>설계요소!BU8</f>
        <v>11.78</v>
      </c>
      <c r="H8" s="39"/>
      <c r="I8" s="39">
        <v>0</v>
      </c>
      <c r="J8" s="39">
        <f t="shared" si="0"/>
        <v>11.78</v>
      </c>
      <c r="O8" s="53"/>
      <c r="P8" s="38" t="s">
        <v>144</v>
      </c>
      <c r="Q8" s="44" t="s">
        <v>22</v>
      </c>
      <c r="R8" s="82">
        <f>설계요소!BV8</f>
        <v>6000</v>
      </c>
      <c r="S8" s="40">
        <f>G8*R8</f>
        <v>70680</v>
      </c>
      <c r="T8" s="40"/>
      <c r="U8" s="40">
        <f t="shared" si="2"/>
        <v>0</v>
      </c>
      <c r="V8" s="40">
        <f t="shared" si="1"/>
        <v>70680</v>
      </c>
    </row>
    <row r="9" spans="1:22" s="35" customFormat="1" ht="15" customHeight="1">
      <c r="A9" s="48"/>
      <c r="B9" s="38" t="s">
        <v>201</v>
      </c>
      <c r="C9" s="93"/>
      <c r="D9" s="38"/>
      <c r="E9" s="39"/>
      <c r="F9" s="40"/>
      <c r="G9" s="39"/>
      <c r="H9" s="39"/>
      <c r="I9" s="39">
        <v>0</v>
      </c>
      <c r="J9" s="39">
        <f t="shared" si="0"/>
        <v>0</v>
      </c>
      <c r="O9" s="53"/>
      <c r="P9" s="38" t="s">
        <v>201</v>
      </c>
      <c r="Q9" s="44" t="s">
        <v>22</v>
      </c>
      <c r="R9" s="82"/>
      <c r="S9" s="40"/>
      <c r="T9" s="40"/>
      <c r="U9" s="40">
        <f t="shared" si="2"/>
        <v>0</v>
      </c>
      <c r="V9" s="40">
        <f t="shared" si="1"/>
        <v>0</v>
      </c>
    </row>
    <row r="10" spans="1:22" s="35" customFormat="1" ht="15" customHeight="1">
      <c r="A10" s="48"/>
      <c r="B10" s="38" t="s">
        <v>79</v>
      </c>
      <c r="C10" s="38"/>
      <c r="D10" s="38"/>
      <c r="E10" s="39"/>
      <c r="F10" s="40"/>
      <c r="G10" s="39">
        <f t="shared" ref="G10" si="3">SUM(G4:G9)</f>
        <v>11.78</v>
      </c>
      <c r="H10" s="39">
        <f t="shared" ref="H10" si="4">SUM(H4:H9)</f>
        <v>0</v>
      </c>
      <c r="I10" s="39">
        <f t="shared" ref="I10" si="5">SUM(I4:I9)</f>
        <v>54.61</v>
      </c>
      <c r="J10" s="39">
        <f t="shared" ref="J10" si="6">SUM(J4:J9)</f>
        <v>66.39</v>
      </c>
      <c r="O10" s="53"/>
      <c r="P10" s="38" t="s">
        <v>79</v>
      </c>
      <c r="Q10" s="44"/>
      <c r="R10" s="40"/>
      <c r="S10" s="40">
        <f>SUM(S4:S9)</f>
        <v>70680</v>
      </c>
      <c r="T10" s="40">
        <f t="shared" ref="T10:V10" si="7">SUM(T4:T9)</f>
        <v>0</v>
      </c>
      <c r="U10" s="40">
        <f t="shared" si="7"/>
        <v>520000</v>
      </c>
      <c r="V10" s="40">
        <f t="shared" si="7"/>
        <v>590680</v>
      </c>
    </row>
    <row r="11" spans="1:22" s="35" customFormat="1" ht="15" customHeight="1">
      <c r="A11" s="52" t="s">
        <v>4</v>
      </c>
      <c r="B11" s="38" t="s">
        <v>191</v>
      </c>
      <c r="C11" s="38" t="s">
        <v>278</v>
      </c>
      <c r="D11" s="38" t="s">
        <v>232</v>
      </c>
      <c r="E11" s="39">
        <f>설계요소!BU9</f>
        <v>1</v>
      </c>
      <c r="F11" s="40"/>
      <c r="G11" s="39">
        <f>E11*설계요소!BN4</f>
        <v>0</v>
      </c>
      <c r="H11" s="39"/>
      <c r="I11" s="39"/>
      <c r="J11" s="39">
        <f t="shared" si="0"/>
        <v>0</v>
      </c>
      <c r="O11" s="52" t="s">
        <v>4</v>
      </c>
      <c r="P11" s="38" t="s">
        <v>191</v>
      </c>
      <c r="Q11" s="44" t="s">
        <v>121</v>
      </c>
      <c r="R11" s="40">
        <f>설계요소!BV9</f>
        <v>0</v>
      </c>
      <c r="S11" s="40">
        <f>R11*G11</f>
        <v>0</v>
      </c>
      <c r="T11" s="40"/>
      <c r="U11" s="40">
        <f>ROUND(I11*R11,0)</f>
        <v>0</v>
      </c>
      <c r="V11" s="40">
        <f t="shared" ref="V11:V24" si="8">SUM(S11:U11)</f>
        <v>0</v>
      </c>
    </row>
    <row r="12" spans="1:22" s="35" customFormat="1" ht="15" customHeight="1">
      <c r="A12" s="53"/>
      <c r="B12" s="38" t="s">
        <v>6</v>
      </c>
      <c r="C12" s="38" t="s">
        <v>26</v>
      </c>
      <c r="D12" s="38" t="s">
        <v>234</v>
      </c>
      <c r="E12" s="39">
        <f>설계요소!BU10</f>
        <v>2</v>
      </c>
      <c r="F12" s="40"/>
      <c r="G12" s="39">
        <f>ROUND(E12*기계경비!E100,2)</f>
        <v>0</v>
      </c>
      <c r="H12" s="39">
        <f>ROUND(E12*기계경비!F100,2)</f>
        <v>27.72</v>
      </c>
      <c r="I12" s="39">
        <f>ROUND(E12*기계경비!G100,2)</f>
        <v>15.28</v>
      </c>
      <c r="J12" s="39">
        <f t="shared" si="0"/>
        <v>43</v>
      </c>
      <c r="O12" s="53"/>
      <c r="P12" s="38" t="s">
        <v>6</v>
      </c>
      <c r="Q12" s="44" t="s">
        <v>121</v>
      </c>
      <c r="R12" s="40">
        <f>설계요소!BV10</f>
        <v>0</v>
      </c>
      <c r="S12" s="40">
        <f>ROUND(G12*$R$12,0)</f>
        <v>0</v>
      </c>
      <c r="T12" s="40">
        <f t="shared" ref="T12:U12" si="9">ROUND(H12*$R$12,0)</f>
        <v>0</v>
      </c>
      <c r="U12" s="40">
        <f t="shared" si="9"/>
        <v>0</v>
      </c>
      <c r="V12" s="40">
        <f t="shared" si="8"/>
        <v>0</v>
      </c>
    </row>
    <row r="13" spans="1:22" s="35" customFormat="1" ht="15" customHeight="1">
      <c r="A13" s="53"/>
      <c r="B13" s="38" t="s">
        <v>7</v>
      </c>
      <c r="C13" s="38" t="s">
        <v>318</v>
      </c>
      <c r="D13" s="38" t="s">
        <v>234</v>
      </c>
      <c r="E13" s="39">
        <f>설계요소!BU11</f>
        <v>4</v>
      </c>
      <c r="F13" s="40"/>
      <c r="G13" s="39">
        <f>E13*기계경비!E105</f>
        <v>0</v>
      </c>
      <c r="H13" s="39">
        <f>E13*기계경비!F105</f>
        <v>27.959999999999997</v>
      </c>
      <c r="I13" s="39">
        <f>E13*기계경비!G105</f>
        <v>12.2</v>
      </c>
      <c r="J13" s="39">
        <f t="shared" si="0"/>
        <v>40.159999999999997</v>
      </c>
      <c r="O13" s="53"/>
      <c r="P13" s="38" t="s">
        <v>7</v>
      </c>
      <c r="Q13" s="44" t="s">
        <v>121</v>
      </c>
      <c r="R13" s="40">
        <f>설계요소!BV11</f>
        <v>0</v>
      </c>
      <c r="S13" s="40">
        <f>R13*G13</f>
        <v>0</v>
      </c>
      <c r="T13" s="40"/>
      <c r="U13" s="40"/>
      <c r="V13" s="40">
        <f t="shared" si="8"/>
        <v>0</v>
      </c>
    </row>
    <row r="14" spans="1:22" s="35" customFormat="1" ht="15" customHeight="1">
      <c r="A14" s="53"/>
      <c r="B14" s="38" t="s">
        <v>202</v>
      </c>
      <c r="C14" s="38" t="s">
        <v>230</v>
      </c>
      <c r="D14" s="38" t="s">
        <v>232</v>
      </c>
      <c r="E14" s="39">
        <f>설계요소!BU12</f>
        <v>2</v>
      </c>
      <c r="F14" s="40"/>
      <c r="G14" s="39">
        <f>E14*설계요소!BM4</f>
        <v>320</v>
      </c>
      <c r="H14" s="39"/>
      <c r="I14" s="39"/>
      <c r="J14" s="39">
        <f t="shared" si="0"/>
        <v>320</v>
      </c>
      <c r="O14" s="53"/>
      <c r="P14" s="38" t="s">
        <v>202</v>
      </c>
      <c r="Q14" s="44" t="s">
        <v>214</v>
      </c>
      <c r="R14" s="40">
        <f>설계요소!BV12</f>
        <v>0</v>
      </c>
      <c r="S14" s="40">
        <f>R14*G14</f>
        <v>0</v>
      </c>
      <c r="T14" s="40"/>
      <c r="U14" s="40"/>
      <c r="V14" s="40">
        <f t="shared" si="8"/>
        <v>0</v>
      </c>
    </row>
    <row r="15" spans="1:22" s="35" customFormat="1" ht="15" customHeight="1">
      <c r="A15" s="53"/>
      <c r="B15" s="38" t="s">
        <v>8</v>
      </c>
      <c r="C15" s="38" t="s">
        <v>25</v>
      </c>
      <c r="D15" s="38" t="s">
        <v>234</v>
      </c>
      <c r="E15" s="39">
        <f>설계요소!BU13</f>
        <v>2</v>
      </c>
      <c r="F15" s="40"/>
      <c r="G15" s="39">
        <f>E15*기계경비!E110</f>
        <v>460</v>
      </c>
      <c r="H15" s="39">
        <f>E15*기계경비!F110</f>
        <v>75.5</v>
      </c>
      <c r="I15" s="39">
        <f>E15*기계경비!G110</f>
        <v>160.69999999999999</v>
      </c>
      <c r="J15" s="39">
        <f t="shared" si="0"/>
        <v>696.2</v>
      </c>
      <c r="O15" s="53"/>
      <c r="P15" s="38" t="s">
        <v>8</v>
      </c>
      <c r="Q15" s="44" t="s">
        <v>121</v>
      </c>
      <c r="R15" s="40">
        <f>설계요소!BV13</f>
        <v>0</v>
      </c>
      <c r="S15" s="40">
        <f>ROUND(G15*$R$15,0)</f>
        <v>0</v>
      </c>
      <c r="T15" s="40">
        <f t="shared" ref="T15:U15" si="10">ROUND(H15*$R$15,0)</f>
        <v>0</v>
      </c>
      <c r="U15" s="40">
        <f t="shared" si="10"/>
        <v>0</v>
      </c>
      <c r="V15" s="40">
        <f t="shared" si="8"/>
        <v>0</v>
      </c>
    </row>
    <row r="16" spans="1:22" s="35" customFormat="1" ht="15" customHeight="1">
      <c r="A16" s="53"/>
      <c r="B16" s="38" t="s">
        <v>203</v>
      </c>
      <c r="C16" s="38" t="s">
        <v>204</v>
      </c>
      <c r="D16" s="38" t="s">
        <v>235</v>
      </c>
      <c r="E16" s="39">
        <f>설계요소!BU14</f>
        <v>0.5</v>
      </c>
      <c r="F16" s="40"/>
      <c r="G16" s="39">
        <f>E16*기계경비!E115</f>
        <v>115</v>
      </c>
      <c r="H16" s="39">
        <f>E16*기계경비!F115</f>
        <v>14.195</v>
      </c>
      <c r="I16" s="39">
        <f>E16*기계경비!G115</f>
        <v>21.83</v>
      </c>
      <c r="J16" s="39">
        <f t="shared" si="0"/>
        <v>151.02499999999998</v>
      </c>
      <c r="O16" s="53"/>
      <c r="P16" s="38" t="s">
        <v>203</v>
      </c>
      <c r="Q16" s="44" t="s">
        <v>121</v>
      </c>
      <c r="R16" s="40">
        <f>설계요소!BV14</f>
        <v>0</v>
      </c>
      <c r="S16" s="40">
        <f>R16*G16</f>
        <v>0</v>
      </c>
      <c r="T16" s="40">
        <f>R16*H16</f>
        <v>0</v>
      </c>
      <c r="U16" s="40">
        <f>R16*I16</f>
        <v>0</v>
      </c>
      <c r="V16" s="40">
        <f t="shared" si="8"/>
        <v>0</v>
      </c>
    </row>
    <row r="17" spans="1:24" s="35" customFormat="1" ht="15" customHeight="1">
      <c r="A17" s="53"/>
      <c r="B17" s="38" t="s">
        <v>201</v>
      </c>
      <c r="C17" s="38"/>
      <c r="D17" s="38"/>
      <c r="E17" s="39"/>
      <c r="F17" s="40"/>
      <c r="G17" s="39"/>
      <c r="H17" s="39"/>
      <c r="I17" s="39"/>
      <c r="J17" s="39">
        <f t="shared" si="0"/>
        <v>0</v>
      </c>
      <c r="O17" s="53"/>
      <c r="P17" s="38" t="s">
        <v>201</v>
      </c>
      <c r="Q17" s="44" t="s">
        <v>121</v>
      </c>
      <c r="R17" s="40">
        <v>0</v>
      </c>
      <c r="S17" s="40"/>
      <c r="T17" s="40"/>
      <c r="U17" s="40"/>
      <c r="V17" s="40">
        <f t="shared" si="8"/>
        <v>0</v>
      </c>
    </row>
    <row r="18" spans="1:24" s="35" customFormat="1" ht="15" customHeight="1">
      <c r="A18" s="54"/>
      <c r="B18" s="38" t="s">
        <v>79</v>
      </c>
      <c r="C18" s="38"/>
      <c r="D18" s="38"/>
      <c r="E18" s="39"/>
      <c r="F18" s="40"/>
      <c r="G18" s="39">
        <f t="shared" ref="G18" si="11">SUM(G11:G17)</f>
        <v>895</v>
      </c>
      <c r="H18" s="39">
        <f t="shared" ref="H18" si="12">SUM(H11:H17)</f>
        <v>145.375</v>
      </c>
      <c r="I18" s="39">
        <f t="shared" ref="I18" si="13">SUM(I11:I17)</f>
        <v>210.01</v>
      </c>
      <c r="J18" s="39">
        <f t="shared" ref="J18" si="14">SUM(J11:J17)</f>
        <v>1250.3850000000002</v>
      </c>
      <c r="O18" s="54"/>
      <c r="P18" s="38" t="s">
        <v>79</v>
      </c>
      <c r="Q18" s="44"/>
      <c r="R18" s="40"/>
      <c r="S18" s="40">
        <f>SUM(S11:S17)</f>
        <v>0</v>
      </c>
      <c r="T18" s="40">
        <f t="shared" ref="T18:V18" si="15">SUM(T11:T17)</f>
        <v>0</v>
      </c>
      <c r="U18" s="40">
        <f t="shared" si="15"/>
        <v>0</v>
      </c>
      <c r="V18" s="40">
        <f t="shared" si="15"/>
        <v>0</v>
      </c>
    </row>
    <row r="19" spans="1:24" s="35" customFormat="1" ht="15" customHeight="1">
      <c r="A19" s="48" t="s">
        <v>9</v>
      </c>
      <c r="B19" s="49" t="s">
        <v>10</v>
      </c>
      <c r="C19" s="38" t="s">
        <v>230</v>
      </c>
      <c r="D19" s="38" t="s">
        <v>232</v>
      </c>
      <c r="E19" s="39">
        <f>설계요소!BU15</f>
        <v>1.05</v>
      </c>
      <c r="F19" s="40"/>
      <c r="G19" s="39">
        <f>ROUND(E19*설계요소!BM4,2)</f>
        <v>168</v>
      </c>
      <c r="H19" s="39"/>
      <c r="I19" s="39"/>
      <c r="J19" s="39">
        <f t="shared" ref="J19:J28" si="16">SUM(G19:I19)</f>
        <v>168</v>
      </c>
      <c r="O19" s="53" t="s">
        <v>9</v>
      </c>
      <c r="P19" s="38" t="s">
        <v>10</v>
      </c>
      <c r="Q19" s="44" t="s">
        <v>121</v>
      </c>
      <c r="R19" s="40">
        <f>설계요소!BV15</f>
        <v>0</v>
      </c>
      <c r="S19" s="40">
        <f>ROUND(G19*$R$19,0)</f>
        <v>0</v>
      </c>
      <c r="T19" s="40"/>
      <c r="U19" s="40"/>
      <c r="V19" s="40">
        <f t="shared" si="8"/>
        <v>0</v>
      </c>
      <c r="X19" s="102"/>
    </row>
    <row r="20" spans="1:24" s="35" customFormat="1" ht="15" customHeight="1">
      <c r="A20" s="48"/>
      <c r="B20" s="49" t="s">
        <v>17</v>
      </c>
      <c r="C20" s="38" t="s">
        <v>336</v>
      </c>
      <c r="D20" s="38" t="s">
        <v>332</v>
      </c>
      <c r="E20" s="39">
        <v>1</v>
      </c>
      <c r="F20" s="40"/>
      <c r="G20" s="39">
        <v>0</v>
      </c>
      <c r="H20" s="39">
        <v>0</v>
      </c>
      <c r="I20" s="39">
        <f>설계요소!BU16</f>
        <v>80</v>
      </c>
      <c r="J20" s="39">
        <f t="shared" si="16"/>
        <v>80</v>
      </c>
      <c r="O20" s="53"/>
      <c r="P20" s="38" t="s">
        <v>98</v>
      </c>
      <c r="Q20" s="44" t="s">
        <v>121</v>
      </c>
      <c r="R20" s="40">
        <f>설계요소!BV16</f>
        <v>500</v>
      </c>
      <c r="S20" s="40">
        <f>R20*G20</f>
        <v>0</v>
      </c>
      <c r="T20" s="40">
        <f>R20*H21</f>
        <v>61000</v>
      </c>
      <c r="U20" s="40">
        <f>R20*I20</f>
        <v>40000</v>
      </c>
      <c r="V20" s="40">
        <f t="shared" si="8"/>
        <v>101000</v>
      </c>
    </row>
    <row r="21" spans="1:24" s="35" customFormat="1" ht="15" customHeight="1">
      <c r="A21" s="48"/>
      <c r="B21" s="51"/>
      <c r="C21" s="38" t="s">
        <v>71</v>
      </c>
      <c r="D21" s="38" t="s">
        <v>332</v>
      </c>
      <c r="E21" s="39">
        <v>1</v>
      </c>
      <c r="F21" s="40"/>
      <c r="G21" s="39">
        <v>0</v>
      </c>
      <c r="H21" s="39">
        <f>설계요소!BU17</f>
        <v>122</v>
      </c>
      <c r="I21" s="39">
        <v>0</v>
      </c>
      <c r="J21" s="39">
        <f t="shared" si="16"/>
        <v>122</v>
      </c>
      <c r="O21" s="53"/>
      <c r="P21" s="38" t="s">
        <v>11</v>
      </c>
      <c r="Q21" s="44" t="s">
        <v>121</v>
      </c>
      <c r="R21" s="40">
        <f>설계요소!BV18</f>
        <v>500</v>
      </c>
      <c r="S21" s="40">
        <f>ROUND(G22*$R$21,0)</f>
        <v>152000</v>
      </c>
      <c r="T21" s="40">
        <f>ROUND(R21*(H23+H24),0)</f>
        <v>85000</v>
      </c>
      <c r="U21" s="40"/>
      <c r="V21" s="40">
        <f t="shared" si="8"/>
        <v>237000</v>
      </c>
    </row>
    <row r="22" spans="1:24" s="35" customFormat="1" ht="15" customHeight="1">
      <c r="A22" s="48"/>
      <c r="B22" s="50" t="s">
        <v>11</v>
      </c>
      <c r="C22" s="72" t="s">
        <v>230</v>
      </c>
      <c r="D22" s="38" t="s">
        <v>31</v>
      </c>
      <c r="E22" s="39">
        <f>설계요소!BU18</f>
        <v>0.19</v>
      </c>
      <c r="F22" s="40"/>
      <c r="G22" s="39">
        <f>ROUND(E22*E23/100*설계요소!BM4,2)</f>
        <v>304</v>
      </c>
      <c r="H22" s="39"/>
      <c r="I22" s="39"/>
      <c r="J22" s="39">
        <f t="shared" si="16"/>
        <v>304</v>
      </c>
      <c r="L22" s="35" t="s">
        <v>110</v>
      </c>
      <c r="O22" s="53"/>
      <c r="P22" s="38" t="s">
        <v>12</v>
      </c>
      <c r="Q22" s="44" t="s">
        <v>121</v>
      </c>
      <c r="R22" s="40">
        <f>R21</f>
        <v>500</v>
      </c>
      <c r="S22" s="40">
        <f>R22*G25</f>
        <v>15200</v>
      </c>
      <c r="T22" s="40">
        <f>R22*H25</f>
        <v>8500</v>
      </c>
      <c r="U22" s="40"/>
      <c r="V22" s="40">
        <f t="shared" si="8"/>
        <v>23700</v>
      </c>
    </row>
    <row r="23" spans="1:24" s="35" customFormat="1" ht="15" customHeight="1">
      <c r="A23" s="48"/>
      <c r="B23" s="50"/>
      <c r="C23" s="72" t="s">
        <v>65</v>
      </c>
      <c r="D23" s="38" t="s">
        <v>237</v>
      </c>
      <c r="E23" s="40">
        <f>설계요소!BU19</f>
        <v>1000</v>
      </c>
      <c r="F23" s="40"/>
      <c r="G23" s="39"/>
      <c r="H23" s="40">
        <f>E23*설계요소!BO12</f>
        <v>170</v>
      </c>
      <c r="I23" s="39"/>
      <c r="J23" s="39">
        <f t="shared" si="16"/>
        <v>170</v>
      </c>
      <c r="O23" s="53"/>
      <c r="P23" s="44" t="s">
        <v>215</v>
      </c>
      <c r="Q23" s="44" t="s">
        <v>121</v>
      </c>
      <c r="R23" s="40">
        <f>설계요소!BV21</f>
        <v>0</v>
      </c>
      <c r="S23" s="40">
        <f>R23*G26</f>
        <v>0</v>
      </c>
      <c r="T23" s="40">
        <f>R23*H27</f>
        <v>0</v>
      </c>
      <c r="U23" s="40"/>
      <c r="V23" s="40">
        <f t="shared" si="8"/>
        <v>0</v>
      </c>
    </row>
    <row r="24" spans="1:24" s="35" customFormat="1" ht="15" customHeight="1">
      <c r="B24" s="54"/>
      <c r="C24" s="44" t="s">
        <v>199</v>
      </c>
      <c r="D24" s="44" t="s">
        <v>238</v>
      </c>
      <c r="E24" s="83">
        <f>E23</f>
        <v>1000</v>
      </c>
      <c r="F24" s="44"/>
      <c r="G24" s="44"/>
      <c r="H24" s="46">
        <f>E24*설계요소!BO13</f>
        <v>0</v>
      </c>
      <c r="I24" s="44"/>
      <c r="J24" s="39">
        <f t="shared" si="16"/>
        <v>0</v>
      </c>
      <c r="O24" s="53"/>
      <c r="P24" s="44" t="s">
        <v>201</v>
      </c>
      <c r="Q24" s="44" t="s">
        <v>121</v>
      </c>
      <c r="R24" s="40"/>
      <c r="S24" s="40"/>
      <c r="T24" s="40"/>
      <c r="U24" s="40"/>
      <c r="V24" s="40">
        <f t="shared" si="8"/>
        <v>0</v>
      </c>
    </row>
    <row r="25" spans="1:24" s="35" customFormat="1" ht="15" customHeight="1">
      <c r="A25" s="48"/>
      <c r="B25" s="49" t="s">
        <v>12</v>
      </c>
      <c r="C25" s="125" t="s">
        <v>195</v>
      </c>
      <c r="D25" s="126"/>
      <c r="E25" s="39"/>
      <c r="F25" s="40"/>
      <c r="G25" s="39">
        <f>ROUND(G22*0.1,2)</f>
        <v>30.4</v>
      </c>
      <c r="H25" s="39">
        <f>ROUND(H23*0.1,2)</f>
        <v>17</v>
      </c>
      <c r="I25" s="39"/>
      <c r="J25" s="39">
        <f t="shared" si="16"/>
        <v>47.4</v>
      </c>
      <c r="O25" s="53"/>
      <c r="P25" s="38" t="s">
        <v>79</v>
      </c>
      <c r="Q25" s="44"/>
      <c r="R25" s="40"/>
      <c r="S25" s="40">
        <f>SUM(S19:S24)</f>
        <v>167200</v>
      </c>
      <c r="T25" s="40">
        <f t="shared" ref="T25:V25" si="17">SUM(T19:T24)</f>
        <v>154500</v>
      </c>
      <c r="U25" s="40">
        <f t="shared" si="17"/>
        <v>40000</v>
      </c>
      <c r="V25" s="40">
        <f t="shared" si="17"/>
        <v>361700</v>
      </c>
    </row>
    <row r="26" spans="1:24" s="35" customFormat="1" ht="15" customHeight="1">
      <c r="A26" s="48"/>
      <c r="B26" s="49" t="s">
        <v>148</v>
      </c>
      <c r="C26" s="41" t="s">
        <v>230</v>
      </c>
      <c r="D26" s="98" t="s">
        <v>231</v>
      </c>
      <c r="E26" s="39">
        <f>설계요소!BU21</f>
        <v>0.96</v>
      </c>
      <c r="F26" s="40"/>
      <c r="G26" s="39">
        <f>E26*설계요소!BM4</f>
        <v>153.6</v>
      </c>
      <c r="H26" s="39"/>
      <c r="I26" s="39"/>
      <c r="J26" s="39">
        <f t="shared" si="16"/>
        <v>153.6</v>
      </c>
      <c r="O26" s="52" t="s">
        <v>13</v>
      </c>
      <c r="P26" s="38" t="s">
        <v>14</v>
      </c>
      <c r="Q26" s="44" t="s">
        <v>121</v>
      </c>
      <c r="R26" s="40">
        <f>설계요소!BV23</f>
        <v>0</v>
      </c>
      <c r="S26" s="40">
        <f>R26*G30</f>
        <v>0</v>
      </c>
      <c r="T26" s="40"/>
      <c r="U26" s="40"/>
      <c r="V26" s="40">
        <f>SUM(S26:U26)</f>
        <v>0</v>
      </c>
    </row>
    <row r="27" spans="1:24" s="35" customFormat="1" ht="15" customHeight="1">
      <c r="A27" s="48"/>
      <c r="B27" s="51"/>
      <c r="C27" s="99" t="s">
        <v>150</v>
      </c>
      <c r="D27" s="43" t="s">
        <v>236</v>
      </c>
      <c r="E27" s="39">
        <f>설계요소!BU22</f>
        <v>8.3000000000000007</v>
      </c>
      <c r="F27" s="40"/>
      <c r="G27" s="39"/>
      <c r="H27" s="39">
        <f>E27*설계요소!BO14</f>
        <v>0</v>
      </c>
      <c r="I27" s="39"/>
      <c r="J27" s="39">
        <f t="shared" si="16"/>
        <v>0</v>
      </c>
      <c r="O27" s="53"/>
      <c r="P27" s="38" t="s">
        <v>68</v>
      </c>
      <c r="Q27" s="44" t="s">
        <v>121</v>
      </c>
      <c r="R27" s="40">
        <f>설계요소!BV24</f>
        <v>0</v>
      </c>
      <c r="S27" s="40">
        <f>R27*G31</f>
        <v>0</v>
      </c>
      <c r="T27" s="40"/>
      <c r="U27" s="40"/>
      <c r="V27" s="40">
        <f t="shared" ref="V27:V34" si="18">SUM(S27:U27)</f>
        <v>0</v>
      </c>
    </row>
    <row r="28" spans="1:24" s="35" customFormat="1" ht="15" customHeight="1">
      <c r="A28" s="48"/>
      <c r="B28" s="51" t="s">
        <v>201</v>
      </c>
      <c r="C28" s="99"/>
      <c r="D28" s="43"/>
      <c r="E28" s="39"/>
      <c r="F28" s="40"/>
      <c r="G28" s="39"/>
      <c r="H28" s="39"/>
      <c r="I28" s="39"/>
      <c r="J28" s="39">
        <f t="shared" si="16"/>
        <v>0</v>
      </c>
      <c r="O28" s="53"/>
      <c r="P28" s="38" t="s">
        <v>17</v>
      </c>
      <c r="Q28" s="44" t="s">
        <v>121</v>
      </c>
      <c r="R28" s="40">
        <f>설계요소!BV25</f>
        <v>0</v>
      </c>
      <c r="S28" s="40">
        <f>R28*G32</f>
        <v>0</v>
      </c>
      <c r="T28" s="40">
        <f>R28*G33*F33</f>
        <v>0</v>
      </c>
      <c r="U28" s="40"/>
      <c r="V28" s="40">
        <f t="shared" si="18"/>
        <v>0</v>
      </c>
    </row>
    <row r="29" spans="1:24" s="35" customFormat="1" ht="15" customHeight="1">
      <c r="A29" s="48"/>
      <c r="B29" s="51" t="s">
        <v>79</v>
      </c>
      <c r="C29" s="42"/>
      <c r="D29" s="38"/>
      <c r="E29" s="39"/>
      <c r="F29" s="40"/>
      <c r="G29" s="39">
        <f t="shared" ref="G29" si="19">SUM(G19:G28)</f>
        <v>656</v>
      </c>
      <c r="H29" s="39">
        <f t="shared" ref="H29" si="20">SUM(H19:H28)</f>
        <v>309</v>
      </c>
      <c r="I29" s="39">
        <f t="shared" ref="I29" si="21">SUM(I19:I28)</f>
        <v>80</v>
      </c>
      <c r="J29" s="39">
        <f t="shared" ref="J29" si="22">SUM(J19:J28)</f>
        <v>1045</v>
      </c>
      <c r="O29" s="53"/>
      <c r="P29" s="38" t="s">
        <v>16</v>
      </c>
      <c r="Q29" s="44" t="s">
        <v>121</v>
      </c>
      <c r="R29" s="40">
        <f>설계요소!BV27</f>
        <v>0</v>
      </c>
      <c r="S29" s="40">
        <f>R29*G34</f>
        <v>0</v>
      </c>
      <c r="T29" s="40">
        <f>R29*H35</f>
        <v>0</v>
      </c>
      <c r="U29" s="40"/>
      <c r="V29" s="40">
        <f t="shared" si="18"/>
        <v>0</v>
      </c>
      <c r="X29" s="102"/>
    </row>
    <row r="30" spans="1:24" s="35" customFormat="1" ht="15" customHeight="1">
      <c r="A30" s="52" t="s">
        <v>13</v>
      </c>
      <c r="B30" s="38" t="s">
        <v>14</v>
      </c>
      <c r="C30" s="38" t="s">
        <v>230</v>
      </c>
      <c r="D30" s="38" t="s">
        <v>239</v>
      </c>
      <c r="E30" s="39">
        <f>설계요소!BU23</f>
        <v>4</v>
      </c>
      <c r="F30" s="40">
        <f>설계요소!B19</f>
        <v>1</v>
      </c>
      <c r="G30" s="39">
        <f>E30*F30*설계요소!BM4</f>
        <v>640</v>
      </c>
      <c r="H30" s="39"/>
      <c r="I30" s="39"/>
      <c r="J30" s="39">
        <f>SUM(G30:I30)</f>
        <v>640</v>
      </c>
      <c r="O30" s="53"/>
      <c r="P30" s="38" t="s">
        <v>18</v>
      </c>
      <c r="Q30" s="44" t="s">
        <v>121</v>
      </c>
      <c r="R30" s="40">
        <f>설계요소!BV29</f>
        <v>0</v>
      </c>
      <c r="S30" s="40">
        <f>R30*G36</f>
        <v>0</v>
      </c>
      <c r="T30" s="40">
        <f>R30*H36</f>
        <v>0</v>
      </c>
      <c r="U30" s="40">
        <f>R30*I36</f>
        <v>0</v>
      </c>
      <c r="V30" s="40">
        <f t="shared" si="18"/>
        <v>0</v>
      </c>
    </row>
    <row r="31" spans="1:24" s="35" customFormat="1" ht="15" customHeight="1">
      <c r="A31" s="53"/>
      <c r="B31" s="38" t="s">
        <v>68</v>
      </c>
      <c r="C31" s="38" t="s">
        <v>230</v>
      </c>
      <c r="D31" s="38" t="s">
        <v>239</v>
      </c>
      <c r="E31" s="39">
        <f>설계요소!BU24</f>
        <v>3</v>
      </c>
      <c r="F31" s="40">
        <f>설계요소!B19</f>
        <v>1</v>
      </c>
      <c r="G31" s="39">
        <f>E31*F31*설계요소!BM4</f>
        <v>480</v>
      </c>
      <c r="H31" s="39"/>
      <c r="I31" s="39"/>
      <c r="J31" s="39">
        <f t="shared" ref="J31:J41" si="23">SUM(G31:I31)</f>
        <v>480</v>
      </c>
      <c r="O31" s="53"/>
      <c r="P31" s="38" t="s">
        <v>206</v>
      </c>
      <c r="Q31" s="44" t="s">
        <v>121</v>
      </c>
      <c r="R31" s="83">
        <f>설계요소!BV30</f>
        <v>0</v>
      </c>
      <c r="S31" s="40">
        <f>R31*G37</f>
        <v>0</v>
      </c>
      <c r="T31" s="40">
        <f>R31*H38</f>
        <v>0</v>
      </c>
      <c r="U31" s="40"/>
      <c r="V31" s="40">
        <f t="shared" si="18"/>
        <v>0</v>
      </c>
    </row>
    <row r="32" spans="1:24" s="35" customFormat="1" ht="15" customHeight="1">
      <c r="A32" s="53"/>
      <c r="B32" s="49" t="s">
        <v>17</v>
      </c>
      <c r="C32" s="38" t="s">
        <v>335</v>
      </c>
      <c r="D32" s="38" t="s">
        <v>332</v>
      </c>
      <c r="E32" s="39">
        <v>1</v>
      </c>
      <c r="F32" s="40">
        <f>설계요소!B20</f>
        <v>1</v>
      </c>
      <c r="G32" s="39">
        <v>0</v>
      </c>
      <c r="H32" s="39"/>
      <c r="I32" s="39">
        <f>설계요소!BU25</f>
        <v>4</v>
      </c>
      <c r="J32" s="39">
        <f t="shared" si="23"/>
        <v>4</v>
      </c>
      <c r="O32" s="53"/>
      <c r="P32" s="38" t="s">
        <v>207</v>
      </c>
      <c r="Q32" s="44" t="s">
        <v>121</v>
      </c>
      <c r="R32" s="83">
        <f>설계요소!BV32</f>
        <v>0</v>
      </c>
      <c r="S32" s="40">
        <f>R32*G39</f>
        <v>0</v>
      </c>
      <c r="T32" s="40"/>
      <c r="U32" s="40"/>
      <c r="V32" s="40">
        <f t="shared" si="18"/>
        <v>0</v>
      </c>
    </row>
    <row r="33" spans="1:22" s="35" customFormat="1" ht="15" customHeight="1">
      <c r="A33" s="53"/>
      <c r="B33" s="51"/>
      <c r="C33" s="38" t="s">
        <v>71</v>
      </c>
      <c r="D33" s="38" t="s">
        <v>332</v>
      </c>
      <c r="E33" s="39">
        <v>1</v>
      </c>
      <c r="F33" s="40">
        <f>설계요소!B20</f>
        <v>1</v>
      </c>
      <c r="G33" s="39">
        <f>E33*F33*설계요소!BO11</f>
        <v>0</v>
      </c>
      <c r="H33" s="39"/>
      <c r="I33" s="39">
        <f>설계요소!BU26</f>
        <v>8</v>
      </c>
      <c r="J33" s="39">
        <f t="shared" si="23"/>
        <v>8</v>
      </c>
      <c r="O33" s="53"/>
      <c r="P33" s="44" t="s">
        <v>208</v>
      </c>
      <c r="Q33" s="44" t="s">
        <v>121</v>
      </c>
      <c r="R33" s="83">
        <f>설계요소!BV33</f>
        <v>0</v>
      </c>
      <c r="S33" s="40">
        <f>R33*G40</f>
        <v>0</v>
      </c>
      <c r="T33" s="40">
        <f>R33*H40</f>
        <v>0</v>
      </c>
      <c r="U33" s="40">
        <f>R33*I40</f>
        <v>0</v>
      </c>
      <c r="V33" s="40">
        <f t="shared" si="18"/>
        <v>0</v>
      </c>
    </row>
    <row r="34" spans="1:22" s="35" customFormat="1" ht="15" customHeight="1">
      <c r="A34" s="53"/>
      <c r="B34" s="50" t="s">
        <v>16</v>
      </c>
      <c r="C34" s="38" t="s">
        <v>230</v>
      </c>
      <c r="D34" s="38" t="s">
        <v>75</v>
      </c>
      <c r="E34" s="39">
        <f>설계요소!BU27</f>
        <v>3.3</v>
      </c>
      <c r="F34" s="40">
        <f>설계요소!B21</f>
        <v>1</v>
      </c>
      <c r="G34" s="39">
        <f>(E34*E35/100)*F34*설계요소!BM4</f>
        <v>475.20000000000005</v>
      </c>
      <c r="H34" s="39"/>
      <c r="I34" s="39"/>
      <c r="J34" s="39">
        <f t="shared" si="23"/>
        <v>475.20000000000005</v>
      </c>
      <c r="O34" s="53"/>
      <c r="P34" s="44" t="s">
        <v>201</v>
      </c>
      <c r="Q34" s="44" t="s">
        <v>121</v>
      </c>
      <c r="R34" s="40"/>
      <c r="S34" s="40"/>
      <c r="T34" s="40"/>
      <c r="U34" s="40"/>
      <c r="V34" s="40">
        <f t="shared" si="18"/>
        <v>0</v>
      </c>
    </row>
    <row r="35" spans="1:22" s="35" customFormat="1" ht="15" customHeight="1">
      <c r="A35" s="53"/>
      <c r="B35" s="50"/>
      <c r="C35" s="38" t="s">
        <v>72</v>
      </c>
      <c r="D35" s="43" t="s">
        <v>288</v>
      </c>
      <c r="E35" s="39">
        <f>설계요소!BU28</f>
        <v>90</v>
      </c>
      <c r="F35" s="40">
        <f>설계요소!B21</f>
        <v>1</v>
      </c>
      <c r="G35" s="39"/>
      <c r="H35" s="39">
        <f>E35*F35*설계요소!BO10</f>
        <v>0</v>
      </c>
      <c r="I35" s="39"/>
      <c r="J35" s="39">
        <f t="shared" si="23"/>
        <v>0</v>
      </c>
      <c r="O35" s="54"/>
      <c r="P35" s="38" t="s">
        <v>79</v>
      </c>
      <c r="Q35" s="44" t="s">
        <v>121</v>
      </c>
      <c r="R35" s="40"/>
      <c r="S35" s="40">
        <f>SUM(S26:S34)</f>
        <v>0</v>
      </c>
      <c r="T35" s="40">
        <f t="shared" ref="T35:V35" si="24">SUM(T26:T34)</f>
        <v>0</v>
      </c>
      <c r="U35" s="40">
        <f t="shared" si="24"/>
        <v>0</v>
      </c>
      <c r="V35" s="40">
        <f t="shared" si="24"/>
        <v>0</v>
      </c>
    </row>
    <row r="36" spans="1:22" s="35" customFormat="1" ht="15" customHeight="1">
      <c r="A36" s="53"/>
      <c r="B36" s="49" t="s">
        <v>18</v>
      </c>
      <c r="C36" s="38" t="s">
        <v>74</v>
      </c>
      <c r="D36" s="38" t="s">
        <v>234</v>
      </c>
      <c r="E36" s="39">
        <f>설계요소!BU29</f>
        <v>2</v>
      </c>
      <c r="F36" s="40"/>
      <c r="G36" s="39">
        <f>E36*기계경비!E115</f>
        <v>460</v>
      </c>
      <c r="H36" s="39">
        <f>E36*기계경비!F115</f>
        <v>56.78</v>
      </c>
      <c r="I36" s="39">
        <f>E36*기계경비!G115</f>
        <v>87.32</v>
      </c>
      <c r="J36" s="39">
        <f t="shared" si="23"/>
        <v>604.09999999999991</v>
      </c>
      <c r="O36" s="52" t="s">
        <v>77</v>
      </c>
      <c r="P36" s="38" t="s">
        <v>19</v>
      </c>
      <c r="Q36" s="44" t="s">
        <v>121</v>
      </c>
      <c r="R36" s="40">
        <f>설계요소!BV34</f>
        <v>0</v>
      </c>
      <c r="S36" s="40">
        <f>R36*G43</f>
        <v>0</v>
      </c>
      <c r="T36" s="40">
        <f>R36*H44</f>
        <v>0</v>
      </c>
      <c r="U36" s="40"/>
      <c r="V36" s="40">
        <f t="shared" ref="V36:V37" si="25">SUM(S36:U36)</f>
        <v>0</v>
      </c>
    </row>
    <row r="37" spans="1:22" s="35" customFormat="1" ht="15" customHeight="1">
      <c r="A37" s="48"/>
      <c r="B37" s="49" t="s">
        <v>206</v>
      </c>
      <c r="C37" s="72" t="s">
        <v>230</v>
      </c>
      <c r="D37" s="38" t="s">
        <v>233</v>
      </c>
      <c r="E37" s="39">
        <f>설계요소!BU30</f>
        <v>4</v>
      </c>
      <c r="F37" s="40"/>
      <c r="G37" s="39">
        <f>E37*설계요소!BM4</f>
        <v>640</v>
      </c>
      <c r="H37" s="39"/>
      <c r="I37" s="39"/>
      <c r="J37" s="39">
        <f t="shared" si="23"/>
        <v>640</v>
      </c>
      <c r="O37" s="53" t="s">
        <v>78</v>
      </c>
      <c r="P37" s="38" t="s">
        <v>76</v>
      </c>
      <c r="Q37" s="44" t="s">
        <v>292</v>
      </c>
      <c r="R37" s="40">
        <f>설계요소!BV36</f>
        <v>0</v>
      </c>
      <c r="S37" s="40">
        <f>R37*G45*26*12</f>
        <v>0</v>
      </c>
      <c r="T37" s="40"/>
      <c r="U37" s="40"/>
      <c r="V37" s="40">
        <f t="shared" si="25"/>
        <v>0</v>
      </c>
    </row>
    <row r="38" spans="1:22" s="35" customFormat="1" ht="15" customHeight="1">
      <c r="A38" s="48"/>
      <c r="B38" s="51"/>
      <c r="C38" s="38" t="s">
        <v>71</v>
      </c>
      <c r="D38" s="38" t="s">
        <v>240</v>
      </c>
      <c r="E38" s="39">
        <f>설계요소!BU31</f>
        <v>4.18</v>
      </c>
      <c r="F38" s="40"/>
      <c r="G38" s="39"/>
      <c r="H38" s="39">
        <f>E38*설계요소!BO11</f>
        <v>0</v>
      </c>
      <c r="I38" s="39"/>
      <c r="J38" s="39"/>
      <c r="O38" s="53"/>
      <c r="P38" s="44" t="s">
        <v>201</v>
      </c>
      <c r="Q38" s="44"/>
      <c r="R38" s="44"/>
      <c r="S38" s="44"/>
      <c r="T38" s="44"/>
      <c r="U38" s="44"/>
      <c r="V38" s="40">
        <f>SUM(S38:U38)</f>
        <v>0</v>
      </c>
    </row>
    <row r="39" spans="1:22" s="35" customFormat="1" ht="15" customHeight="1">
      <c r="A39" s="53"/>
      <c r="B39" s="51" t="s">
        <v>207</v>
      </c>
      <c r="C39" s="38" t="s">
        <v>230</v>
      </c>
      <c r="D39" s="38" t="s">
        <v>233</v>
      </c>
      <c r="E39" s="39">
        <f>설계요소!BU32</f>
        <v>1.65</v>
      </c>
      <c r="F39" s="40"/>
      <c r="G39" s="39">
        <f>E39*설계요소!BM4</f>
        <v>264</v>
      </c>
      <c r="H39" s="39"/>
      <c r="I39" s="39"/>
      <c r="J39" s="39">
        <f t="shared" si="23"/>
        <v>264</v>
      </c>
      <c r="O39" s="54"/>
      <c r="P39" s="38" t="s">
        <v>79</v>
      </c>
      <c r="Q39" s="44"/>
      <c r="R39" s="40"/>
      <c r="S39" s="40">
        <f>SUM(S36:S38)</f>
        <v>0</v>
      </c>
      <c r="T39" s="40">
        <f t="shared" ref="T39:V39" si="26">SUM(T36:T38)</f>
        <v>0</v>
      </c>
      <c r="U39" s="40">
        <f t="shared" si="26"/>
        <v>0</v>
      </c>
      <c r="V39" s="40">
        <f t="shared" si="26"/>
        <v>0</v>
      </c>
    </row>
    <row r="40" spans="1:22" s="35" customFormat="1" ht="15" customHeight="1">
      <c r="A40" s="53"/>
      <c r="B40" s="38" t="s">
        <v>208</v>
      </c>
      <c r="C40" s="38" t="s">
        <v>209</v>
      </c>
      <c r="D40" s="38" t="s">
        <v>235</v>
      </c>
      <c r="E40" s="39">
        <f>설계요소!BU33</f>
        <v>1</v>
      </c>
      <c r="F40" s="40"/>
      <c r="G40" s="39">
        <f>E40*기계경비!E100</f>
        <v>0</v>
      </c>
      <c r="H40" s="39">
        <f>E40*기계경비!F100</f>
        <v>13.86</v>
      </c>
      <c r="I40" s="39">
        <f>E40*기계경비!G100</f>
        <v>7.64</v>
      </c>
      <c r="J40" s="39">
        <f t="shared" si="23"/>
        <v>21.5</v>
      </c>
      <c r="O40" s="119" t="s">
        <v>294</v>
      </c>
      <c r="P40" s="120"/>
      <c r="Q40" s="44"/>
      <c r="R40" s="40"/>
      <c r="S40" s="40">
        <f>S39+S35+S25+S18+S10</f>
        <v>237880</v>
      </c>
      <c r="T40" s="40">
        <f t="shared" ref="T40:U40" si="27">T39+T35+T25+T18+T10</f>
        <v>154500</v>
      </c>
      <c r="U40" s="40">
        <f t="shared" si="27"/>
        <v>560000</v>
      </c>
      <c r="V40" s="40">
        <f>V39+V35+V25+V18+V10</f>
        <v>952380</v>
      </c>
    </row>
    <row r="41" spans="1:22" s="35" customFormat="1" ht="15" customHeight="1">
      <c r="A41" s="53"/>
      <c r="B41" s="38" t="s">
        <v>201</v>
      </c>
      <c r="C41" s="38"/>
      <c r="D41" s="38"/>
      <c r="E41" s="39"/>
      <c r="F41" s="40"/>
      <c r="G41" s="39"/>
      <c r="H41" s="39"/>
      <c r="I41" s="39"/>
      <c r="J41" s="39">
        <f t="shared" si="23"/>
        <v>0</v>
      </c>
      <c r="O41" s="52" t="s">
        <v>124</v>
      </c>
      <c r="P41" s="44" t="s">
        <v>122</v>
      </c>
      <c r="Q41" s="44"/>
      <c r="R41" s="40"/>
      <c r="S41" s="40"/>
      <c r="T41" s="40"/>
      <c r="U41" s="40"/>
      <c r="V41" s="40">
        <f>ROUND(S40*설계요소!BP25,0)</f>
        <v>25215</v>
      </c>
    </row>
    <row r="42" spans="1:22" s="35" customFormat="1" ht="15" customHeight="1">
      <c r="A42" s="54"/>
      <c r="B42" s="49" t="s">
        <v>79</v>
      </c>
      <c r="C42" s="38"/>
      <c r="D42" s="38"/>
      <c r="E42" s="39"/>
      <c r="F42" s="40"/>
      <c r="G42" s="39">
        <f t="shared" ref="G42" si="28">SUM(G30:G41)</f>
        <v>2959.2</v>
      </c>
      <c r="H42" s="39">
        <f t="shared" ref="H42" si="29">SUM(H30:H41)</f>
        <v>70.64</v>
      </c>
      <c r="I42" s="39">
        <f t="shared" ref="I42" si="30">SUM(I30:I41)</f>
        <v>106.96</v>
      </c>
      <c r="J42" s="39">
        <f t="shared" ref="J42" si="31">SUM(J30:J41)</f>
        <v>3136.8</v>
      </c>
      <c r="O42" s="53"/>
      <c r="P42" s="44" t="s">
        <v>112</v>
      </c>
      <c r="Q42" s="44"/>
      <c r="R42" s="40"/>
      <c r="S42" s="40"/>
      <c r="T42" s="40"/>
      <c r="U42" s="40"/>
      <c r="V42" s="40">
        <f>ROUND((S40+T40+U40+V41)*설계요소!BP26,0)</f>
        <v>58656</v>
      </c>
    </row>
    <row r="43" spans="1:22" s="35" customFormat="1" ht="15" customHeight="1">
      <c r="A43" s="47" t="s">
        <v>77</v>
      </c>
      <c r="B43" s="49" t="s">
        <v>19</v>
      </c>
      <c r="C43" s="72" t="s">
        <v>230</v>
      </c>
      <c r="D43" s="38" t="s">
        <v>232</v>
      </c>
      <c r="E43" s="39">
        <f>설계요소!BU34</f>
        <v>0.4</v>
      </c>
      <c r="F43" s="40"/>
      <c r="G43" s="39">
        <f>E43*설계요소!BM4</f>
        <v>64</v>
      </c>
      <c r="H43" s="39"/>
      <c r="I43" s="39"/>
      <c r="J43" s="39">
        <f t="shared" ref="J43:J46" si="32">SUM(G43:I43)</f>
        <v>64</v>
      </c>
      <c r="O43" s="57"/>
      <c r="P43" s="56" t="s">
        <v>139</v>
      </c>
      <c r="Q43" s="44"/>
      <c r="R43" s="40"/>
      <c r="S43" s="40"/>
      <c r="T43" s="40"/>
      <c r="U43" s="40"/>
      <c r="V43" s="40">
        <f>(S40+V41)*설계요소!BP27</f>
        <v>42095.200000000004</v>
      </c>
    </row>
    <row r="44" spans="1:22" s="35" customFormat="1" ht="15" customHeight="1">
      <c r="A44" s="48" t="s">
        <v>211</v>
      </c>
      <c r="B44" s="51"/>
      <c r="C44" s="72" t="s">
        <v>210</v>
      </c>
      <c r="D44" s="38" t="s">
        <v>240</v>
      </c>
      <c r="E44" s="39">
        <f>설계요소!BU35</f>
        <v>1.8</v>
      </c>
      <c r="F44" s="40"/>
      <c r="G44" s="39"/>
      <c r="H44" s="39">
        <f>E44*설계요소!BO15</f>
        <v>0</v>
      </c>
      <c r="I44" s="39"/>
      <c r="J44" s="39">
        <f t="shared" si="32"/>
        <v>0</v>
      </c>
      <c r="O44" s="119" t="s">
        <v>125</v>
      </c>
      <c r="P44" s="120"/>
      <c r="Q44" s="44"/>
      <c r="R44" s="40"/>
      <c r="S44" s="40"/>
      <c r="T44" s="40"/>
      <c r="U44" s="40"/>
      <c r="V44" s="40">
        <f>V43+V42+V41+V40</f>
        <v>1078346.2</v>
      </c>
    </row>
    <row r="45" spans="1:22" s="35" customFormat="1" ht="15" customHeight="1">
      <c r="A45" s="53" t="s">
        <v>212</v>
      </c>
      <c r="B45" s="51" t="s">
        <v>76</v>
      </c>
      <c r="C45" s="38" t="s">
        <v>230</v>
      </c>
      <c r="D45" s="38" t="s">
        <v>291</v>
      </c>
      <c r="E45" s="39">
        <f>설계요소!BU36</f>
        <v>2</v>
      </c>
      <c r="F45" s="40"/>
      <c r="G45" s="39">
        <f>E45*설계요소!BM4</f>
        <v>320</v>
      </c>
      <c r="H45" s="39"/>
      <c r="I45" s="39"/>
      <c r="J45" s="39">
        <f t="shared" si="32"/>
        <v>320</v>
      </c>
      <c r="O45" s="35" t="s">
        <v>319</v>
      </c>
      <c r="P45" s="76"/>
      <c r="Q45" s="76"/>
      <c r="R45" s="76"/>
      <c r="S45" s="76"/>
      <c r="T45" s="76"/>
      <c r="U45" s="106" t="s">
        <v>293</v>
      </c>
      <c r="V45" s="105">
        <f>V44/500</f>
        <v>2156.6923999999999</v>
      </c>
    </row>
    <row r="46" spans="1:22" s="35" customFormat="1" ht="15" customHeight="1">
      <c r="A46" s="53"/>
      <c r="B46" s="51" t="s">
        <v>201</v>
      </c>
      <c r="C46" s="38"/>
      <c r="D46" s="38"/>
      <c r="E46" s="39"/>
      <c r="F46" s="40"/>
      <c r="G46" s="39"/>
      <c r="H46" s="39"/>
      <c r="I46" s="39"/>
      <c r="J46" s="39">
        <f t="shared" si="32"/>
        <v>0</v>
      </c>
      <c r="O46" s="35" t="s">
        <v>337</v>
      </c>
    </row>
    <row r="47" spans="1:22" s="35" customFormat="1" ht="15" customHeight="1">
      <c r="A47" s="54"/>
      <c r="B47" s="38" t="s">
        <v>79</v>
      </c>
      <c r="C47" s="44"/>
      <c r="D47" s="44"/>
      <c r="E47" s="44"/>
      <c r="F47" s="44"/>
      <c r="G47" s="45">
        <f t="shared" ref="G47" si="33">SUM(G43:G46)</f>
        <v>384</v>
      </c>
      <c r="H47" s="45">
        <f t="shared" ref="H47" si="34">SUM(H43:H46)</f>
        <v>0</v>
      </c>
      <c r="I47" s="45">
        <f t="shared" ref="I47" si="35">SUM(I43:I46)</f>
        <v>0</v>
      </c>
      <c r="J47" s="45">
        <f t="shared" ref="J47" si="36">SUM(J43:J46)</f>
        <v>384</v>
      </c>
    </row>
    <row r="48" spans="1:22" s="35" customFormat="1" ht="1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9:22" ht="14.25">
      <c r="V49" s="108"/>
    </row>
    <row r="50" spans="9:22" ht="14.25">
      <c r="I50" s="101"/>
    </row>
    <row r="51" spans="9:22" ht="14.25"/>
    <row r="52" spans="9:22" ht="14.25"/>
    <row r="53" spans="9:22" ht="14.25"/>
    <row r="54" spans="9:22" ht="14.25"/>
  </sheetData>
  <mergeCells count="6">
    <mergeCell ref="O44:P44"/>
    <mergeCell ref="A1:J1"/>
    <mergeCell ref="O1:V1"/>
    <mergeCell ref="C5:D5"/>
    <mergeCell ref="C25:D25"/>
    <mergeCell ref="O40:P40"/>
  </mergeCells>
  <phoneticPr fontId="2" type="noConversion"/>
  <pageMargins left="0.43" right="0.3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0"/>
  <sheetViews>
    <sheetView topLeftCell="A113" workbookViewId="0">
      <selection activeCell="J69" sqref="J69"/>
    </sheetView>
  </sheetViews>
  <sheetFormatPr defaultRowHeight="20.100000000000001" customHeight="1"/>
  <cols>
    <col min="1" max="1" width="13.125" style="1" customWidth="1"/>
    <col min="2" max="2" width="15.375" style="1" customWidth="1"/>
    <col min="3" max="3" width="29.375" style="1" customWidth="1"/>
    <col min="4" max="7" width="12.625" style="1" customWidth="1"/>
    <col min="8" max="8" width="9" style="1"/>
    <col min="9" max="10" width="9.5" style="1" bestFit="1" customWidth="1"/>
    <col min="11" max="16384" width="9" style="1"/>
  </cols>
  <sheetData>
    <row r="1" spans="1:13" ht="27" customHeight="1">
      <c r="A1" s="124" t="s">
        <v>63</v>
      </c>
      <c r="B1" s="124"/>
      <c r="C1" s="124"/>
      <c r="D1" s="124"/>
      <c r="E1" s="124"/>
      <c r="F1" s="124"/>
      <c r="G1" s="124"/>
    </row>
    <row r="2" spans="1:13" ht="18.75" customHeight="1">
      <c r="A2" s="130" t="s">
        <v>216</v>
      </c>
      <c r="B2" s="130"/>
    </row>
    <row r="3" spans="1:13" ht="20.100000000000001" customHeight="1">
      <c r="A3" s="7" t="s">
        <v>32</v>
      </c>
      <c r="B3" s="7" t="s">
        <v>43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38</v>
      </c>
    </row>
    <row r="4" spans="1:13" ht="20.100000000000001" customHeight="1">
      <c r="A4" s="13" t="s">
        <v>39</v>
      </c>
      <c r="B4" s="25" t="s">
        <v>33</v>
      </c>
      <c r="C4" s="2"/>
      <c r="D4" s="27">
        <f>SUM(E4:G4)</f>
        <v>22.38</v>
      </c>
      <c r="E4" s="14">
        <f>SUM(E5:E8)</f>
        <v>6</v>
      </c>
      <c r="F4" s="27">
        <f t="shared" ref="F4:G4" si="0">SUM(F5:F8)</f>
        <v>8.74</v>
      </c>
      <c r="G4" s="15">
        <f t="shared" si="0"/>
        <v>7.64</v>
      </c>
      <c r="J4" s="9"/>
      <c r="K4" s="9"/>
      <c r="L4" s="9"/>
    </row>
    <row r="5" spans="1:13" ht="20.100000000000001" customHeight="1">
      <c r="A5" s="13" t="s">
        <v>40</v>
      </c>
      <c r="B5" s="3"/>
      <c r="C5" s="2" t="s">
        <v>50</v>
      </c>
      <c r="D5" s="28"/>
      <c r="E5" s="6"/>
      <c r="F5" s="30"/>
      <c r="G5" s="16">
        <f>ROUND(910*0.0084,2)</f>
        <v>7.64</v>
      </c>
      <c r="J5" s="12"/>
      <c r="K5" s="12"/>
      <c r="L5" s="12"/>
    </row>
    <row r="6" spans="1:13" ht="20.100000000000001" customHeight="1">
      <c r="A6" s="13" t="s">
        <v>41</v>
      </c>
      <c r="B6" s="3" t="s">
        <v>48</v>
      </c>
      <c r="C6" s="2" t="s">
        <v>61</v>
      </c>
      <c r="D6" s="28"/>
      <c r="E6" s="6"/>
      <c r="F6" s="30">
        <f>ROUND(5.6*설계요소!$C$8,2)</f>
        <v>4.4800000000000004</v>
      </c>
      <c r="G6" s="16"/>
    </row>
    <row r="7" spans="1:13" ht="20.100000000000001" customHeight="1">
      <c r="A7" s="13" t="s">
        <v>42</v>
      </c>
      <c r="B7" s="3" t="s">
        <v>46</v>
      </c>
      <c r="C7" s="17">
        <v>0.95</v>
      </c>
      <c r="D7" s="28"/>
      <c r="E7" s="6"/>
      <c r="F7" s="30">
        <f>ROUND($F$6*0.95,2)</f>
        <v>4.26</v>
      </c>
      <c r="G7" s="16"/>
    </row>
    <row r="8" spans="1:13" ht="20.100000000000001" customHeight="1">
      <c r="A8" s="13" t="s">
        <v>51</v>
      </c>
      <c r="B8" s="3"/>
      <c r="C8" s="2"/>
      <c r="D8" s="28"/>
      <c r="E8" s="6">
        <f>설계요소!$B$4</f>
        <v>6</v>
      </c>
      <c r="F8" s="30"/>
      <c r="G8" s="16"/>
      <c r="J8" s="9"/>
      <c r="K8" s="9"/>
      <c r="L8" s="9"/>
      <c r="M8" s="9"/>
    </row>
    <row r="9" spans="1:13" s="76" customFormat="1" ht="20.100000000000001" hidden="1" customHeight="1">
      <c r="A9" s="22" t="s">
        <v>55</v>
      </c>
      <c r="B9" s="25" t="s">
        <v>182</v>
      </c>
      <c r="C9" s="5"/>
      <c r="D9" s="27">
        <f>SUM(E9:G9)</f>
        <v>122.22999999999999</v>
      </c>
      <c r="E9" s="23">
        <f>SUM(E10:E13)</f>
        <v>8</v>
      </c>
      <c r="F9" s="27">
        <f t="shared" ref="F9:G9" si="1">SUM(F10:F13)</f>
        <v>33.880000000000003</v>
      </c>
      <c r="G9" s="24">
        <f t="shared" si="1"/>
        <v>80.349999999999994</v>
      </c>
      <c r="L9" s="78"/>
    </row>
    <row r="10" spans="1:13" s="76" customFormat="1" ht="20.100000000000001" hidden="1" customHeight="1">
      <c r="A10" s="13" t="s">
        <v>40</v>
      </c>
      <c r="B10" s="3"/>
      <c r="C10" s="2" t="s">
        <v>183</v>
      </c>
      <c r="D10" s="28"/>
      <c r="E10" s="6"/>
      <c r="F10" s="30"/>
      <c r="G10" s="16">
        <f>ROUND(50221*0.0016,2)</f>
        <v>80.349999999999994</v>
      </c>
      <c r="L10" s="78"/>
    </row>
    <row r="11" spans="1:13" s="76" customFormat="1" ht="20.100000000000001" hidden="1" customHeight="1">
      <c r="A11" s="13" t="s">
        <v>41</v>
      </c>
      <c r="B11" s="3" t="s">
        <v>45</v>
      </c>
      <c r="C11" s="2" t="s">
        <v>184</v>
      </c>
      <c r="D11" s="28"/>
      <c r="E11" s="6"/>
      <c r="F11" s="30">
        <f>ROUND(40*설계요소!$C$9,2)</f>
        <v>28</v>
      </c>
      <c r="G11" s="16"/>
      <c r="K11" s="11"/>
      <c r="L11" s="78"/>
    </row>
    <row r="12" spans="1:13" s="76" customFormat="1" ht="20.100000000000001" hidden="1" customHeight="1">
      <c r="A12" s="13" t="s">
        <v>42</v>
      </c>
      <c r="B12" s="3" t="s">
        <v>46</v>
      </c>
      <c r="C12" s="17">
        <v>0.21</v>
      </c>
      <c r="D12" s="28"/>
      <c r="E12" s="6"/>
      <c r="F12" s="30">
        <f>ROUND($F$11*0.21,2)</f>
        <v>5.88</v>
      </c>
      <c r="G12" s="16"/>
      <c r="L12" s="78"/>
    </row>
    <row r="13" spans="1:13" s="76" customFormat="1" ht="20.100000000000001" hidden="1" customHeight="1">
      <c r="A13" s="18" t="s">
        <v>52</v>
      </c>
      <c r="B13" s="4"/>
      <c r="C13" s="19"/>
      <c r="D13" s="29"/>
      <c r="E13" s="20">
        <f>설계요소!$C$4</f>
        <v>8</v>
      </c>
      <c r="F13" s="31"/>
      <c r="G13" s="21"/>
    </row>
    <row r="14" spans="1:13" ht="20.100000000000001" customHeight="1">
      <c r="A14" s="22" t="s">
        <v>180</v>
      </c>
      <c r="B14" s="25" t="s">
        <v>56</v>
      </c>
      <c r="C14" s="5"/>
      <c r="D14" s="27">
        <f>SUM(E14:G14)</f>
        <v>206.74</v>
      </c>
      <c r="E14" s="23">
        <f>SUM(E15:E18)</f>
        <v>8</v>
      </c>
      <c r="F14" s="27">
        <f t="shared" ref="F14" si="2">SUM(F15:F18)</f>
        <v>69.69</v>
      </c>
      <c r="G14" s="24">
        <f t="shared" ref="G14" si="3">SUM(G15:G18)</f>
        <v>129.05000000000001</v>
      </c>
      <c r="L14" s="12"/>
    </row>
    <row r="15" spans="1:13" ht="20.100000000000001" customHeight="1">
      <c r="A15" s="13" t="s">
        <v>40</v>
      </c>
      <c r="B15" s="3"/>
      <c r="C15" s="2" t="s">
        <v>57</v>
      </c>
      <c r="D15" s="28"/>
      <c r="E15" s="6"/>
      <c r="F15" s="30"/>
      <c r="G15" s="16">
        <f>ROUND(80658*0.0016,2)</f>
        <v>129.05000000000001</v>
      </c>
      <c r="L15" s="12"/>
    </row>
    <row r="16" spans="1:13" ht="20.100000000000001" customHeight="1">
      <c r="A16" s="13" t="s">
        <v>41</v>
      </c>
      <c r="B16" s="3" t="s">
        <v>45</v>
      </c>
      <c r="C16" s="2" t="s">
        <v>60</v>
      </c>
      <c r="D16" s="28"/>
      <c r="E16" s="6"/>
      <c r="F16" s="30">
        <f>ROUND(81.6*설계요소!$C$9,2)</f>
        <v>57.12</v>
      </c>
      <c r="G16" s="16"/>
      <c r="K16" s="11"/>
      <c r="L16" s="12"/>
    </row>
    <row r="17" spans="1:13" ht="20.100000000000001" customHeight="1">
      <c r="A17" s="13" t="s">
        <v>42</v>
      </c>
      <c r="B17" s="3" t="s">
        <v>46</v>
      </c>
      <c r="C17" s="17">
        <v>0.22</v>
      </c>
      <c r="D17" s="28"/>
      <c r="E17" s="6"/>
      <c r="F17" s="30">
        <f>ROUND($F$16*0.22,2)</f>
        <v>12.57</v>
      </c>
      <c r="G17" s="16"/>
      <c r="L17" s="12"/>
    </row>
    <row r="18" spans="1:13" ht="20.100000000000001" customHeight="1">
      <c r="A18" s="18" t="s">
        <v>52</v>
      </c>
      <c r="B18" s="4"/>
      <c r="C18" s="19"/>
      <c r="D18" s="29"/>
      <c r="E18" s="20">
        <f>설계요소!$C$4</f>
        <v>8</v>
      </c>
      <c r="F18" s="31"/>
      <c r="G18" s="21"/>
    </row>
    <row r="19" spans="1:13" ht="20.100000000000001" customHeight="1">
      <c r="A19" s="13" t="s">
        <v>181</v>
      </c>
      <c r="B19" s="26" t="s">
        <v>58</v>
      </c>
      <c r="C19" s="2"/>
      <c r="D19" s="28">
        <f>SUM(E19:G19)</f>
        <v>77.14</v>
      </c>
      <c r="E19" s="14">
        <f>SUM(E20:E23)</f>
        <v>8</v>
      </c>
      <c r="F19" s="28">
        <f t="shared" ref="F19" si="4">SUM(F20:F23)</f>
        <v>25.48</v>
      </c>
      <c r="G19" s="15">
        <f t="shared" ref="G19" si="5">SUM(G20:G23)</f>
        <v>43.66</v>
      </c>
    </row>
    <row r="20" spans="1:13" ht="20.100000000000001" customHeight="1">
      <c r="A20" s="13" t="s">
        <v>40</v>
      </c>
      <c r="B20" s="3"/>
      <c r="C20" s="2" t="s">
        <v>59</v>
      </c>
      <c r="D20" s="28"/>
      <c r="E20" s="6"/>
      <c r="F20" s="30"/>
      <c r="G20" s="16">
        <f>ROUND(54581*0.0008,2)</f>
        <v>43.66</v>
      </c>
    </row>
    <row r="21" spans="1:13" ht="20.100000000000001" customHeight="1">
      <c r="A21" s="13" t="s">
        <v>41</v>
      </c>
      <c r="B21" s="3" t="s">
        <v>45</v>
      </c>
      <c r="C21" s="2" t="s">
        <v>62</v>
      </c>
      <c r="D21" s="28"/>
      <c r="E21" s="6"/>
      <c r="F21" s="30">
        <f>ROUND(26*설계요소!$C$9,2)</f>
        <v>18.2</v>
      </c>
      <c r="G21" s="16"/>
    </row>
    <row r="22" spans="1:13" ht="20.100000000000001" customHeight="1">
      <c r="A22" s="13" t="s">
        <v>42</v>
      </c>
      <c r="B22" s="3" t="s">
        <v>46</v>
      </c>
      <c r="C22" s="17">
        <v>0.4</v>
      </c>
      <c r="D22" s="28"/>
      <c r="E22" s="6"/>
      <c r="F22" s="30">
        <f>ROUND($F$21*0.4,2)</f>
        <v>7.28</v>
      </c>
      <c r="G22" s="16"/>
    </row>
    <row r="23" spans="1:13" ht="20.100000000000001" customHeight="1">
      <c r="A23" s="18" t="s">
        <v>52</v>
      </c>
      <c r="B23" s="4"/>
      <c r="C23" s="19"/>
      <c r="D23" s="29"/>
      <c r="E23" s="20">
        <f>설계요소!$C$4</f>
        <v>8</v>
      </c>
      <c r="F23" s="31"/>
      <c r="G23" s="21"/>
    </row>
    <row r="25" spans="1:13" s="76" customFormat="1" ht="27" customHeight="1">
      <c r="A25" s="124" t="s">
        <v>63</v>
      </c>
      <c r="B25" s="124"/>
      <c r="C25" s="124"/>
      <c r="D25" s="124"/>
      <c r="E25" s="124"/>
      <c r="F25" s="124"/>
      <c r="G25" s="124"/>
    </row>
    <row r="26" spans="1:13" s="76" customFormat="1" ht="18.75" customHeight="1">
      <c r="A26" s="127" t="s">
        <v>298</v>
      </c>
      <c r="B26" s="127"/>
    </row>
    <row r="27" spans="1:13" s="76" customFormat="1" ht="20.100000000000001" customHeight="1">
      <c r="A27" s="7" t="s">
        <v>32</v>
      </c>
      <c r="B27" s="7" t="s">
        <v>43</v>
      </c>
      <c r="C27" s="7" t="s">
        <v>34</v>
      </c>
      <c r="D27" s="7" t="s">
        <v>35</v>
      </c>
      <c r="E27" s="7" t="s">
        <v>28</v>
      </c>
      <c r="F27" s="7" t="s">
        <v>29</v>
      </c>
      <c r="G27" s="7" t="s">
        <v>30</v>
      </c>
    </row>
    <row r="28" spans="1:13" s="76" customFormat="1" ht="20.100000000000001" customHeight="1">
      <c r="A28" s="13" t="s">
        <v>39</v>
      </c>
      <c r="B28" s="25" t="s">
        <v>33</v>
      </c>
      <c r="C28" s="2"/>
      <c r="D28" s="27">
        <f>SUM(E28:G28)</f>
        <v>26.380000000000003</v>
      </c>
      <c r="E28" s="14">
        <f>SUM(E29:E32)</f>
        <v>10</v>
      </c>
      <c r="F28" s="27">
        <f t="shared" ref="F28:G28" si="6">SUM(F29:F32)</f>
        <v>8.74</v>
      </c>
      <c r="G28" s="15">
        <f t="shared" si="6"/>
        <v>7.64</v>
      </c>
      <c r="J28" s="77"/>
      <c r="K28" s="77"/>
      <c r="L28" s="77"/>
    </row>
    <row r="29" spans="1:13" s="76" customFormat="1" ht="20.100000000000001" customHeight="1">
      <c r="A29" s="13" t="s">
        <v>40</v>
      </c>
      <c r="B29" s="3"/>
      <c r="C29" s="2" t="s">
        <v>50</v>
      </c>
      <c r="D29" s="28"/>
      <c r="E29" s="6"/>
      <c r="F29" s="30"/>
      <c r="G29" s="16">
        <f>ROUND(910*0.0084,2)</f>
        <v>7.64</v>
      </c>
      <c r="J29" s="78"/>
      <c r="K29" s="78"/>
      <c r="L29" s="78"/>
    </row>
    <row r="30" spans="1:13" s="76" customFormat="1" ht="20.100000000000001" customHeight="1">
      <c r="A30" s="13" t="s">
        <v>41</v>
      </c>
      <c r="B30" s="3" t="s">
        <v>48</v>
      </c>
      <c r="C30" s="2" t="s">
        <v>61</v>
      </c>
      <c r="D30" s="28"/>
      <c r="E30" s="6"/>
      <c r="F30" s="30">
        <f>ROUND(5.6*설계요소!$Y$8,2)</f>
        <v>4.4800000000000004</v>
      </c>
      <c r="G30" s="16"/>
    </row>
    <row r="31" spans="1:13" s="76" customFormat="1" ht="20.100000000000001" customHeight="1">
      <c r="A31" s="13" t="s">
        <v>42</v>
      </c>
      <c r="B31" s="3" t="s">
        <v>46</v>
      </c>
      <c r="C31" s="17">
        <v>0.95</v>
      </c>
      <c r="D31" s="28"/>
      <c r="E31" s="6"/>
      <c r="F31" s="30">
        <f>ROUND($F$30*0.95,2)</f>
        <v>4.26</v>
      </c>
      <c r="G31" s="16"/>
    </row>
    <row r="32" spans="1:13" s="76" customFormat="1" ht="20.100000000000001" customHeight="1">
      <c r="A32" s="13" t="s">
        <v>51</v>
      </c>
      <c r="B32" s="3"/>
      <c r="C32" s="2"/>
      <c r="D32" s="28"/>
      <c r="E32" s="6">
        <f>설계요소!$X$4</f>
        <v>10</v>
      </c>
      <c r="F32" s="30"/>
      <c r="G32" s="16"/>
      <c r="J32" s="77"/>
      <c r="K32" s="77"/>
      <c r="L32" s="77"/>
      <c r="M32" s="77"/>
    </row>
    <row r="33" spans="1:12" s="76" customFormat="1" ht="20.100000000000001" customHeight="1">
      <c r="A33" s="22" t="s">
        <v>55</v>
      </c>
      <c r="B33" s="25" t="s">
        <v>182</v>
      </c>
      <c r="C33" s="5"/>
      <c r="D33" s="27">
        <f>SUM(E33:G33)</f>
        <v>126.22999999999999</v>
      </c>
      <c r="E33" s="23">
        <f>SUM(E34:E37)</f>
        <v>12</v>
      </c>
      <c r="F33" s="27">
        <f t="shared" ref="F33:G33" si="7">SUM(F34:F37)</f>
        <v>33.880000000000003</v>
      </c>
      <c r="G33" s="24">
        <f t="shared" si="7"/>
        <v>80.349999999999994</v>
      </c>
      <c r="L33" s="78"/>
    </row>
    <row r="34" spans="1:12" s="76" customFormat="1" ht="20.100000000000001" customHeight="1">
      <c r="A34" s="13" t="s">
        <v>40</v>
      </c>
      <c r="B34" s="3"/>
      <c r="C34" s="2" t="s">
        <v>183</v>
      </c>
      <c r="D34" s="28"/>
      <c r="E34" s="6"/>
      <c r="F34" s="30"/>
      <c r="G34" s="16">
        <f>ROUND(50221*0.0016,2)</f>
        <v>80.349999999999994</v>
      </c>
      <c r="L34" s="78"/>
    </row>
    <row r="35" spans="1:12" s="76" customFormat="1" ht="20.100000000000001" customHeight="1">
      <c r="A35" s="13" t="s">
        <v>41</v>
      </c>
      <c r="B35" s="3" t="s">
        <v>45</v>
      </c>
      <c r="C35" s="2" t="s">
        <v>184</v>
      </c>
      <c r="D35" s="28"/>
      <c r="E35" s="6"/>
      <c r="F35" s="30">
        <f>ROUND(40*설계요소!$Y$9,2)</f>
        <v>28</v>
      </c>
      <c r="G35" s="16"/>
      <c r="K35" s="11"/>
      <c r="L35" s="78"/>
    </row>
    <row r="36" spans="1:12" s="76" customFormat="1" ht="20.100000000000001" customHeight="1">
      <c r="A36" s="13" t="s">
        <v>42</v>
      </c>
      <c r="B36" s="3" t="s">
        <v>46</v>
      </c>
      <c r="C36" s="17">
        <v>0.21</v>
      </c>
      <c r="D36" s="28"/>
      <c r="E36" s="6"/>
      <c r="F36" s="30">
        <f>ROUND($F$35*0.21,2)</f>
        <v>5.88</v>
      </c>
      <c r="G36" s="16"/>
      <c r="L36" s="78"/>
    </row>
    <row r="37" spans="1:12" s="76" customFormat="1" ht="20.100000000000001" customHeight="1">
      <c r="A37" s="18" t="s">
        <v>52</v>
      </c>
      <c r="B37" s="4"/>
      <c r="C37" s="19"/>
      <c r="D37" s="29"/>
      <c r="E37" s="20">
        <f>설계요소!$Y$4</f>
        <v>12</v>
      </c>
      <c r="F37" s="31"/>
      <c r="G37" s="21"/>
    </row>
    <row r="38" spans="1:12" s="76" customFormat="1" ht="20.100000000000001" customHeight="1">
      <c r="A38" s="22" t="s">
        <v>180</v>
      </c>
      <c r="B38" s="25" t="s">
        <v>56</v>
      </c>
      <c r="C38" s="5"/>
      <c r="D38" s="27">
        <f>SUM(E38:G38)</f>
        <v>210.74</v>
      </c>
      <c r="E38" s="23">
        <f>SUM(E39:E42)</f>
        <v>12</v>
      </c>
      <c r="F38" s="27">
        <f t="shared" ref="F38:G38" si="8">SUM(F39:F42)</f>
        <v>69.69</v>
      </c>
      <c r="G38" s="24">
        <f t="shared" si="8"/>
        <v>129.05000000000001</v>
      </c>
      <c r="L38" s="78"/>
    </row>
    <row r="39" spans="1:12" s="76" customFormat="1" ht="20.100000000000001" customHeight="1">
      <c r="A39" s="13" t="s">
        <v>40</v>
      </c>
      <c r="B39" s="3"/>
      <c r="C39" s="2" t="s">
        <v>57</v>
      </c>
      <c r="D39" s="28"/>
      <c r="E39" s="6"/>
      <c r="F39" s="30"/>
      <c r="G39" s="16">
        <f>ROUND(80658*0.0016,2)</f>
        <v>129.05000000000001</v>
      </c>
      <c r="L39" s="78"/>
    </row>
    <row r="40" spans="1:12" s="76" customFormat="1" ht="20.100000000000001" customHeight="1">
      <c r="A40" s="13" t="s">
        <v>41</v>
      </c>
      <c r="B40" s="3" t="s">
        <v>45</v>
      </c>
      <c r="C40" s="2" t="s">
        <v>60</v>
      </c>
      <c r="D40" s="28"/>
      <c r="E40" s="6"/>
      <c r="F40" s="30">
        <f>ROUND(81.6*설계요소!$Y$9,2)</f>
        <v>57.12</v>
      </c>
      <c r="G40" s="16"/>
      <c r="K40" s="11"/>
      <c r="L40" s="78"/>
    </row>
    <row r="41" spans="1:12" s="76" customFormat="1" ht="20.100000000000001" customHeight="1">
      <c r="A41" s="13" t="s">
        <v>42</v>
      </c>
      <c r="B41" s="3" t="s">
        <v>46</v>
      </c>
      <c r="C41" s="17">
        <v>0.22</v>
      </c>
      <c r="D41" s="28"/>
      <c r="E41" s="6"/>
      <c r="F41" s="30">
        <f>ROUND($F$40*0.22,2)</f>
        <v>12.57</v>
      </c>
      <c r="G41" s="16"/>
      <c r="L41" s="78"/>
    </row>
    <row r="42" spans="1:12" s="76" customFormat="1" ht="20.100000000000001" customHeight="1">
      <c r="A42" s="18" t="s">
        <v>52</v>
      </c>
      <c r="B42" s="4"/>
      <c r="C42" s="19"/>
      <c r="D42" s="29"/>
      <c r="E42" s="20">
        <f>설계요소!$Y$4</f>
        <v>12</v>
      </c>
      <c r="F42" s="31"/>
      <c r="G42" s="21"/>
    </row>
    <row r="43" spans="1:12" s="76" customFormat="1" ht="20.100000000000001" customHeight="1">
      <c r="A43" s="13" t="s">
        <v>181</v>
      </c>
      <c r="B43" s="26" t="s">
        <v>58</v>
      </c>
      <c r="C43" s="2"/>
      <c r="D43" s="28">
        <f>SUM(E43:G43)</f>
        <v>81.14</v>
      </c>
      <c r="E43" s="14">
        <f>SUM(E44:E47)</f>
        <v>12</v>
      </c>
      <c r="F43" s="28">
        <f t="shared" ref="F43:G43" si="9">SUM(F44:F47)</f>
        <v>25.48</v>
      </c>
      <c r="G43" s="15">
        <f t="shared" si="9"/>
        <v>43.66</v>
      </c>
    </row>
    <row r="44" spans="1:12" s="76" customFormat="1" ht="20.100000000000001" customHeight="1">
      <c r="A44" s="13" t="s">
        <v>40</v>
      </c>
      <c r="B44" s="3"/>
      <c r="C44" s="2" t="s">
        <v>59</v>
      </c>
      <c r="D44" s="28"/>
      <c r="E44" s="6"/>
      <c r="F44" s="30"/>
      <c r="G44" s="16">
        <f>ROUND(54581*0.0008,2)</f>
        <v>43.66</v>
      </c>
    </row>
    <row r="45" spans="1:12" s="76" customFormat="1" ht="20.100000000000001" customHeight="1">
      <c r="A45" s="13" t="s">
        <v>41</v>
      </c>
      <c r="B45" s="3" t="s">
        <v>45</v>
      </c>
      <c r="C45" s="2" t="s">
        <v>62</v>
      </c>
      <c r="D45" s="28"/>
      <c r="E45" s="6"/>
      <c r="F45" s="30">
        <f>ROUND(26*설계요소!$Y$9,2)</f>
        <v>18.2</v>
      </c>
      <c r="G45" s="16"/>
    </row>
    <row r="46" spans="1:12" s="76" customFormat="1" ht="20.100000000000001" customHeight="1">
      <c r="A46" s="13" t="s">
        <v>42</v>
      </c>
      <c r="B46" s="3" t="s">
        <v>46</v>
      </c>
      <c r="C46" s="17">
        <v>0.4</v>
      </c>
      <c r="D46" s="28"/>
      <c r="E46" s="6"/>
      <c r="F46" s="30">
        <f>ROUND($F$45*0.4,2)</f>
        <v>7.28</v>
      </c>
      <c r="G46" s="16"/>
    </row>
    <row r="47" spans="1:12" s="76" customFormat="1" ht="20.100000000000001" customHeight="1">
      <c r="A47" s="18" t="s">
        <v>52</v>
      </c>
      <c r="B47" s="4"/>
      <c r="C47" s="19"/>
      <c r="D47" s="29"/>
      <c r="E47" s="20">
        <f>설계요소!$Y$4</f>
        <v>12</v>
      </c>
      <c r="F47" s="31"/>
      <c r="G47" s="21"/>
    </row>
    <row r="48" spans="1:12" s="76" customFormat="1" ht="20.100000000000001" customHeight="1"/>
    <row r="49" spans="1:13" s="76" customFormat="1" ht="27" customHeight="1">
      <c r="A49" s="124" t="s">
        <v>63</v>
      </c>
      <c r="B49" s="124"/>
      <c r="C49" s="124"/>
      <c r="D49" s="124"/>
      <c r="E49" s="124"/>
      <c r="F49" s="124"/>
      <c r="G49" s="124"/>
    </row>
    <row r="50" spans="1:13" s="76" customFormat="1" ht="18.75" customHeight="1">
      <c r="A50" s="127" t="s">
        <v>304</v>
      </c>
      <c r="B50" s="127"/>
    </row>
    <row r="51" spans="1:13" s="76" customFormat="1" ht="20.100000000000001" customHeight="1">
      <c r="A51" s="7" t="s">
        <v>32</v>
      </c>
      <c r="B51" s="7" t="s">
        <v>43</v>
      </c>
      <c r="C51" s="7" t="s">
        <v>34</v>
      </c>
      <c r="D51" s="7" t="s">
        <v>35</v>
      </c>
      <c r="E51" s="7" t="s">
        <v>28</v>
      </c>
      <c r="F51" s="7" t="s">
        <v>29</v>
      </c>
      <c r="G51" s="7" t="s">
        <v>30</v>
      </c>
    </row>
    <row r="52" spans="1:13" s="76" customFormat="1" ht="20.100000000000001" customHeight="1">
      <c r="A52" s="13" t="s">
        <v>39</v>
      </c>
      <c r="B52" s="25" t="s">
        <v>33</v>
      </c>
      <c r="C52" s="2"/>
      <c r="D52" s="27">
        <f>SUM(E52:G52)</f>
        <v>19.190000000000001</v>
      </c>
      <c r="E52" s="14">
        <f>SUM(E53:E56)</f>
        <v>5</v>
      </c>
      <c r="F52" s="27">
        <f t="shared" ref="F52:G52" si="10">SUM(F53:F56)</f>
        <v>6.55</v>
      </c>
      <c r="G52" s="15">
        <f t="shared" si="10"/>
        <v>7.64</v>
      </c>
      <c r="J52" s="77"/>
      <c r="K52" s="77"/>
      <c r="L52" s="77"/>
    </row>
    <row r="53" spans="1:13" s="76" customFormat="1" ht="20.100000000000001" customHeight="1">
      <c r="A53" s="13" t="s">
        <v>40</v>
      </c>
      <c r="B53" s="3"/>
      <c r="C53" s="2" t="s">
        <v>50</v>
      </c>
      <c r="D53" s="28"/>
      <c r="E53" s="6"/>
      <c r="F53" s="30"/>
      <c r="G53" s="16">
        <f>ROUND(910*0.0084,2)</f>
        <v>7.64</v>
      </c>
      <c r="J53" s="78"/>
      <c r="K53" s="78"/>
      <c r="L53" s="78"/>
    </row>
    <row r="54" spans="1:13" s="76" customFormat="1" ht="20.100000000000001" customHeight="1">
      <c r="A54" s="13" t="s">
        <v>41</v>
      </c>
      <c r="B54" s="3" t="s">
        <v>48</v>
      </c>
      <c r="C54" s="2" t="s">
        <v>61</v>
      </c>
      <c r="D54" s="28"/>
      <c r="E54" s="6"/>
      <c r="F54" s="30">
        <f>ROUND(5.6*설계요소!$AJ$8,2)</f>
        <v>3.36</v>
      </c>
      <c r="G54" s="16"/>
    </row>
    <row r="55" spans="1:13" s="76" customFormat="1" ht="20.100000000000001" customHeight="1">
      <c r="A55" s="13" t="s">
        <v>42</v>
      </c>
      <c r="B55" s="3" t="s">
        <v>46</v>
      </c>
      <c r="C55" s="17">
        <v>0.95</v>
      </c>
      <c r="D55" s="28"/>
      <c r="E55" s="6"/>
      <c r="F55" s="30">
        <f>ROUND($F$54*0.95,2)</f>
        <v>3.19</v>
      </c>
      <c r="G55" s="16"/>
    </row>
    <row r="56" spans="1:13" s="76" customFormat="1" ht="20.100000000000001" customHeight="1">
      <c r="A56" s="13" t="s">
        <v>51</v>
      </c>
      <c r="B56" s="3"/>
      <c r="C56" s="2"/>
      <c r="D56" s="28"/>
      <c r="E56" s="6">
        <f>설계요소!$AI$4</f>
        <v>5</v>
      </c>
      <c r="F56" s="30"/>
      <c r="G56" s="16"/>
      <c r="J56" s="77"/>
      <c r="K56" s="77"/>
      <c r="L56" s="77"/>
      <c r="M56" s="77"/>
    </row>
    <row r="57" spans="1:13" s="76" customFormat="1" ht="20.100000000000001" customHeight="1">
      <c r="A57" s="22" t="s">
        <v>55</v>
      </c>
      <c r="B57" s="25" t="s">
        <v>182</v>
      </c>
      <c r="C57" s="5"/>
      <c r="D57" s="27">
        <f>SUM(E57:G57)</f>
        <v>112.55</v>
      </c>
      <c r="E57" s="23">
        <f>SUM(E58:E61)</f>
        <v>8</v>
      </c>
      <c r="F57" s="27">
        <f t="shared" ref="F57:G57" si="11">SUM(F58:F61)</f>
        <v>24.2</v>
      </c>
      <c r="G57" s="24">
        <f t="shared" si="11"/>
        <v>80.349999999999994</v>
      </c>
      <c r="L57" s="78"/>
    </row>
    <row r="58" spans="1:13" s="76" customFormat="1" ht="20.100000000000001" customHeight="1">
      <c r="A58" s="13" t="s">
        <v>40</v>
      </c>
      <c r="B58" s="3"/>
      <c r="C58" s="2" t="s">
        <v>183</v>
      </c>
      <c r="D58" s="28"/>
      <c r="E58" s="6"/>
      <c r="F58" s="30"/>
      <c r="G58" s="16">
        <f>ROUND(50221*0.0016,2)</f>
        <v>80.349999999999994</v>
      </c>
      <c r="L58" s="78"/>
    </row>
    <row r="59" spans="1:13" s="76" customFormat="1" ht="20.100000000000001" customHeight="1">
      <c r="A59" s="13" t="s">
        <v>41</v>
      </c>
      <c r="B59" s="3" t="s">
        <v>45</v>
      </c>
      <c r="C59" s="2" t="s">
        <v>184</v>
      </c>
      <c r="D59" s="28"/>
      <c r="E59" s="6"/>
      <c r="F59" s="30">
        <f>ROUND(40*설계요소!$AJ$9,2)</f>
        <v>20</v>
      </c>
      <c r="G59" s="16"/>
      <c r="K59" s="11"/>
      <c r="L59" s="78"/>
    </row>
    <row r="60" spans="1:13" s="76" customFormat="1" ht="20.100000000000001" customHeight="1">
      <c r="A60" s="13" t="s">
        <v>42</v>
      </c>
      <c r="B60" s="3" t="s">
        <v>46</v>
      </c>
      <c r="C60" s="17">
        <v>0.21</v>
      </c>
      <c r="D60" s="28"/>
      <c r="E60" s="6"/>
      <c r="F60" s="30">
        <f>ROUND($F$59*0.21,2)</f>
        <v>4.2</v>
      </c>
      <c r="G60" s="16"/>
      <c r="L60" s="78"/>
    </row>
    <row r="61" spans="1:13" s="76" customFormat="1" ht="20.100000000000001" customHeight="1">
      <c r="A61" s="18" t="s">
        <v>52</v>
      </c>
      <c r="B61" s="4"/>
      <c r="C61" s="19"/>
      <c r="D61" s="29"/>
      <c r="E61" s="20">
        <f>설계요소!$AJ$4</f>
        <v>8</v>
      </c>
      <c r="F61" s="31"/>
      <c r="G61" s="21"/>
    </row>
    <row r="62" spans="1:13" s="76" customFormat="1" ht="20.100000000000001" customHeight="1">
      <c r="A62" s="22" t="s">
        <v>180</v>
      </c>
      <c r="B62" s="25" t="s">
        <v>56</v>
      </c>
      <c r="C62" s="5"/>
      <c r="D62" s="27">
        <f>SUM(E62:G62)</f>
        <v>186.83</v>
      </c>
      <c r="E62" s="23">
        <f>SUM(E63:E66)</f>
        <v>8</v>
      </c>
      <c r="F62" s="27">
        <f t="shared" ref="F62:G62" si="12">SUM(F63:F66)</f>
        <v>49.78</v>
      </c>
      <c r="G62" s="24">
        <f t="shared" si="12"/>
        <v>129.05000000000001</v>
      </c>
      <c r="L62" s="78"/>
    </row>
    <row r="63" spans="1:13" s="76" customFormat="1" ht="20.100000000000001" customHeight="1">
      <c r="A63" s="13" t="s">
        <v>40</v>
      </c>
      <c r="B63" s="3"/>
      <c r="C63" s="2" t="s">
        <v>57</v>
      </c>
      <c r="D63" s="28"/>
      <c r="E63" s="6"/>
      <c r="F63" s="30"/>
      <c r="G63" s="16">
        <f>ROUND(80658*0.0016,2)</f>
        <v>129.05000000000001</v>
      </c>
      <c r="L63" s="78"/>
    </row>
    <row r="64" spans="1:13" s="76" customFormat="1" ht="20.100000000000001" customHeight="1">
      <c r="A64" s="13" t="s">
        <v>41</v>
      </c>
      <c r="B64" s="3" t="s">
        <v>45</v>
      </c>
      <c r="C64" s="2" t="s">
        <v>60</v>
      </c>
      <c r="D64" s="28"/>
      <c r="E64" s="6"/>
      <c r="F64" s="30">
        <f>ROUND(81.6*설계요소!$AJ$9,2)</f>
        <v>40.799999999999997</v>
      </c>
      <c r="G64" s="16"/>
      <c r="K64" s="11"/>
      <c r="L64" s="78"/>
    </row>
    <row r="65" spans="1:13" s="76" customFormat="1" ht="20.100000000000001" customHeight="1">
      <c r="A65" s="13" t="s">
        <v>42</v>
      </c>
      <c r="B65" s="3" t="s">
        <v>46</v>
      </c>
      <c r="C65" s="17">
        <v>0.22</v>
      </c>
      <c r="D65" s="28"/>
      <c r="E65" s="6"/>
      <c r="F65" s="30">
        <f>ROUND($F$64*0.22,2)</f>
        <v>8.98</v>
      </c>
      <c r="G65" s="16"/>
      <c r="L65" s="78"/>
    </row>
    <row r="66" spans="1:13" s="76" customFormat="1" ht="20.100000000000001" customHeight="1">
      <c r="A66" s="18" t="s">
        <v>52</v>
      </c>
      <c r="B66" s="4"/>
      <c r="C66" s="19"/>
      <c r="D66" s="29"/>
      <c r="E66" s="20">
        <f>설계요소!$AJ$4</f>
        <v>8</v>
      </c>
      <c r="F66" s="31"/>
      <c r="G66" s="21"/>
    </row>
    <row r="67" spans="1:13" s="76" customFormat="1" ht="20.100000000000001" customHeight="1">
      <c r="A67" s="13" t="s">
        <v>181</v>
      </c>
      <c r="B67" s="26" t="s">
        <v>58</v>
      </c>
      <c r="C67" s="2"/>
      <c r="D67" s="28">
        <f>SUM(E67:G67)</f>
        <v>69.86</v>
      </c>
      <c r="E67" s="14">
        <f>SUM(E68:E71)</f>
        <v>8</v>
      </c>
      <c r="F67" s="28">
        <f t="shared" ref="F67:G67" si="13">SUM(F68:F71)</f>
        <v>18.2</v>
      </c>
      <c r="G67" s="15">
        <f t="shared" si="13"/>
        <v>43.66</v>
      </c>
    </row>
    <row r="68" spans="1:13" s="76" customFormat="1" ht="20.100000000000001" customHeight="1">
      <c r="A68" s="13" t="s">
        <v>40</v>
      </c>
      <c r="B68" s="3"/>
      <c r="C68" s="2" t="s">
        <v>59</v>
      </c>
      <c r="D68" s="28"/>
      <c r="E68" s="6"/>
      <c r="F68" s="30"/>
      <c r="G68" s="16">
        <f>ROUND(54581*0.0008,2)</f>
        <v>43.66</v>
      </c>
    </row>
    <row r="69" spans="1:13" s="76" customFormat="1" ht="20.100000000000001" customHeight="1">
      <c r="A69" s="13" t="s">
        <v>41</v>
      </c>
      <c r="B69" s="3" t="s">
        <v>45</v>
      </c>
      <c r="C69" s="2" t="s">
        <v>62</v>
      </c>
      <c r="D69" s="28"/>
      <c r="E69" s="6"/>
      <c r="F69" s="30">
        <f>ROUND(26*설계요소!$AJ$9,2)</f>
        <v>13</v>
      </c>
      <c r="G69" s="16"/>
    </row>
    <row r="70" spans="1:13" s="76" customFormat="1" ht="20.100000000000001" customHeight="1">
      <c r="A70" s="13" t="s">
        <v>42</v>
      </c>
      <c r="B70" s="3" t="s">
        <v>46</v>
      </c>
      <c r="C70" s="17">
        <v>0.4</v>
      </c>
      <c r="D70" s="28"/>
      <c r="E70" s="6"/>
      <c r="F70" s="30">
        <f>ROUND($F$69*0.4,2)</f>
        <v>5.2</v>
      </c>
      <c r="G70" s="16"/>
    </row>
    <row r="71" spans="1:13" s="76" customFormat="1" ht="20.100000000000001" customHeight="1">
      <c r="A71" s="18" t="s">
        <v>52</v>
      </c>
      <c r="B71" s="4"/>
      <c r="C71" s="19"/>
      <c r="D71" s="29"/>
      <c r="E71" s="20">
        <f>설계요소!$AJ$4</f>
        <v>8</v>
      </c>
      <c r="F71" s="31"/>
      <c r="G71" s="21"/>
    </row>
    <row r="72" spans="1:13" s="76" customFormat="1" ht="20.100000000000001" customHeight="1"/>
    <row r="73" spans="1:13" s="76" customFormat="1" ht="27" customHeight="1">
      <c r="A73" s="124" t="s">
        <v>63</v>
      </c>
      <c r="B73" s="124"/>
      <c r="C73" s="124"/>
      <c r="D73" s="124"/>
      <c r="E73" s="124"/>
      <c r="F73" s="124"/>
      <c r="G73" s="124"/>
    </row>
    <row r="74" spans="1:13" s="76" customFormat="1" ht="18.75" customHeight="1">
      <c r="A74" s="127" t="s">
        <v>311</v>
      </c>
      <c r="B74" s="127"/>
    </row>
    <row r="75" spans="1:13" s="76" customFormat="1" ht="20.100000000000001" customHeight="1">
      <c r="A75" s="7" t="s">
        <v>32</v>
      </c>
      <c r="B75" s="7" t="s">
        <v>43</v>
      </c>
      <c r="C75" s="7" t="s">
        <v>34</v>
      </c>
      <c r="D75" s="7" t="s">
        <v>35</v>
      </c>
      <c r="E75" s="7" t="s">
        <v>28</v>
      </c>
      <c r="F75" s="7" t="s">
        <v>29</v>
      </c>
      <c r="G75" s="7" t="s">
        <v>30</v>
      </c>
    </row>
    <row r="76" spans="1:13" s="76" customFormat="1" ht="20.100000000000001" customHeight="1">
      <c r="A76" s="13" t="s">
        <v>39</v>
      </c>
      <c r="B76" s="25" t="s">
        <v>33</v>
      </c>
      <c r="C76" s="2"/>
      <c r="D76" s="27">
        <f>SUM(E76:G76)</f>
        <v>26.25</v>
      </c>
      <c r="E76" s="14">
        <f>SUM(E77:E80)</f>
        <v>7.69</v>
      </c>
      <c r="F76" s="27">
        <f t="shared" ref="F76:G76" si="14">SUM(F77:F80)</f>
        <v>10.92</v>
      </c>
      <c r="G76" s="15">
        <f t="shared" si="14"/>
        <v>7.64</v>
      </c>
      <c r="J76" s="77"/>
      <c r="K76" s="77"/>
      <c r="L76" s="77"/>
    </row>
    <row r="77" spans="1:13" s="76" customFormat="1" ht="20.100000000000001" customHeight="1">
      <c r="A77" s="13" t="s">
        <v>40</v>
      </c>
      <c r="B77" s="3"/>
      <c r="C77" s="2" t="s">
        <v>50</v>
      </c>
      <c r="D77" s="28"/>
      <c r="E77" s="6"/>
      <c r="F77" s="30"/>
      <c r="G77" s="16">
        <f>ROUND(910*0.0084,2)</f>
        <v>7.64</v>
      </c>
      <c r="J77" s="78"/>
      <c r="K77" s="78"/>
      <c r="L77" s="78"/>
    </row>
    <row r="78" spans="1:13" s="76" customFormat="1" ht="20.100000000000001" customHeight="1">
      <c r="A78" s="13" t="s">
        <v>41</v>
      </c>
      <c r="B78" s="3" t="s">
        <v>48</v>
      </c>
      <c r="C78" s="2" t="s">
        <v>61</v>
      </c>
      <c r="D78" s="28"/>
      <c r="E78" s="6"/>
      <c r="F78" s="30">
        <f>ROUND(5.6*설계요소!$BD$8,2)</f>
        <v>5.6</v>
      </c>
      <c r="G78" s="16"/>
    </row>
    <row r="79" spans="1:13" s="76" customFormat="1" ht="20.100000000000001" customHeight="1">
      <c r="A79" s="13" t="s">
        <v>42</v>
      </c>
      <c r="B79" s="3" t="s">
        <v>46</v>
      </c>
      <c r="C79" s="17">
        <v>0.95</v>
      </c>
      <c r="D79" s="28"/>
      <c r="E79" s="6"/>
      <c r="F79" s="30">
        <f>ROUND($F$78*0.95,2)</f>
        <v>5.32</v>
      </c>
      <c r="G79" s="16"/>
    </row>
    <row r="80" spans="1:13" s="76" customFormat="1" ht="20.100000000000001" customHeight="1">
      <c r="A80" s="13" t="s">
        <v>51</v>
      </c>
      <c r="B80" s="3"/>
      <c r="C80" s="2"/>
      <c r="D80" s="28"/>
      <c r="E80" s="6">
        <f>설계요소!$BC$4</f>
        <v>7.69</v>
      </c>
      <c r="F80" s="30"/>
      <c r="G80" s="16"/>
      <c r="J80" s="77"/>
      <c r="K80" s="77"/>
      <c r="L80" s="77"/>
      <c r="M80" s="77"/>
    </row>
    <row r="81" spans="1:12" s="76" customFormat="1" ht="20.100000000000001" customHeight="1">
      <c r="A81" s="22" t="s">
        <v>55</v>
      </c>
      <c r="B81" s="25" t="s">
        <v>182</v>
      </c>
      <c r="C81" s="5"/>
      <c r="D81" s="27">
        <f>SUM(E81:G81)</f>
        <v>136.87</v>
      </c>
      <c r="E81" s="23">
        <f>SUM(E82:E85)</f>
        <v>15.38</v>
      </c>
      <c r="F81" s="27">
        <f t="shared" ref="F81:G81" si="15">SUM(F82:F85)</f>
        <v>41.14</v>
      </c>
      <c r="G81" s="24">
        <f t="shared" si="15"/>
        <v>80.349999999999994</v>
      </c>
      <c r="L81" s="78"/>
    </row>
    <row r="82" spans="1:12" s="76" customFormat="1" ht="20.100000000000001" customHeight="1">
      <c r="A82" s="13" t="s">
        <v>40</v>
      </c>
      <c r="B82" s="3"/>
      <c r="C82" s="2" t="s">
        <v>183</v>
      </c>
      <c r="D82" s="28"/>
      <c r="E82" s="6"/>
      <c r="F82" s="30"/>
      <c r="G82" s="16">
        <f>ROUND(50221*0.0016,2)</f>
        <v>80.349999999999994</v>
      </c>
      <c r="L82" s="78"/>
    </row>
    <row r="83" spans="1:12" s="76" customFormat="1" ht="20.100000000000001" customHeight="1">
      <c r="A83" s="13" t="s">
        <v>41</v>
      </c>
      <c r="B83" s="3" t="s">
        <v>45</v>
      </c>
      <c r="C83" s="2" t="s">
        <v>184</v>
      </c>
      <c r="D83" s="28"/>
      <c r="E83" s="6"/>
      <c r="F83" s="30">
        <f>ROUND(40*설계요소!$BD$9,2)</f>
        <v>34</v>
      </c>
      <c r="G83" s="16"/>
      <c r="K83" s="11"/>
      <c r="L83" s="78"/>
    </row>
    <row r="84" spans="1:12" s="76" customFormat="1" ht="20.100000000000001" customHeight="1">
      <c r="A84" s="13" t="s">
        <v>42</v>
      </c>
      <c r="B84" s="3" t="s">
        <v>46</v>
      </c>
      <c r="C84" s="17">
        <v>0.21</v>
      </c>
      <c r="D84" s="28"/>
      <c r="E84" s="6"/>
      <c r="F84" s="30">
        <f>ROUND($F$83*0.21,2)</f>
        <v>7.14</v>
      </c>
      <c r="G84" s="16"/>
      <c r="L84" s="78"/>
    </row>
    <row r="85" spans="1:12" s="76" customFormat="1" ht="20.100000000000001" customHeight="1">
      <c r="A85" s="18" t="s">
        <v>52</v>
      </c>
      <c r="B85" s="4"/>
      <c r="C85" s="19"/>
      <c r="D85" s="29"/>
      <c r="E85" s="20">
        <f>설계요소!$BD$4</f>
        <v>15.38</v>
      </c>
      <c r="F85" s="31"/>
      <c r="G85" s="21"/>
    </row>
    <row r="86" spans="1:12" s="76" customFormat="1" ht="20.100000000000001" customHeight="1">
      <c r="A86" s="22" t="s">
        <v>180</v>
      </c>
      <c r="B86" s="25" t="s">
        <v>56</v>
      </c>
      <c r="C86" s="5"/>
      <c r="D86" s="27">
        <f>SUM(E86:G86)</f>
        <v>229.05</v>
      </c>
      <c r="E86" s="23">
        <f>SUM(E87:E90)</f>
        <v>15.38</v>
      </c>
      <c r="F86" s="27">
        <f t="shared" ref="F86:G86" si="16">SUM(F87:F90)</f>
        <v>84.62</v>
      </c>
      <c r="G86" s="24">
        <f t="shared" si="16"/>
        <v>129.05000000000001</v>
      </c>
      <c r="L86" s="78"/>
    </row>
    <row r="87" spans="1:12" s="76" customFormat="1" ht="20.100000000000001" customHeight="1">
      <c r="A87" s="13" t="s">
        <v>40</v>
      </c>
      <c r="B87" s="3"/>
      <c r="C87" s="2" t="s">
        <v>57</v>
      </c>
      <c r="D87" s="28"/>
      <c r="E87" s="6"/>
      <c r="F87" s="30"/>
      <c r="G87" s="16">
        <f>ROUND(80658*0.0016,2)</f>
        <v>129.05000000000001</v>
      </c>
      <c r="L87" s="78"/>
    </row>
    <row r="88" spans="1:12" s="76" customFormat="1" ht="20.100000000000001" customHeight="1">
      <c r="A88" s="13" t="s">
        <v>41</v>
      </c>
      <c r="B88" s="3" t="s">
        <v>45</v>
      </c>
      <c r="C88" s="2" t="s">
        <v>60</v>
      </c>
      <c r="D88" s="28"/>
      <c r="E88" s="6"/>
      <c r="F88" s="30">
        <f>ROUND(81.6*설계요소!$BD$9,2)</f>
        <v>69.36</v>
      </c>
      <c r="G88" s="16"/>
      <c r="K88" s="11"/>
      <c r="L88" s="78"/>
    </row>
    <row r="89" spans="1:12" s="76" customFormat="1" ht="20.100000000000001" customHeight="1">
      <c r="A89" s="13" t="s">
        <v>42</v>
      </c>
      <c r="B89" s="3" t="s">
        <v>46</v>
      </c>
      <c r="C89" s="17">
        <v>0.22</v>
      </c>
      <c r="D89" s="28"/>
      <c r="E89" s="6"/>
      <c r="F89" s="30">
        <f>ROUND($F$88*0.22,2)</f>
        <v>15.26</v>
      </c>
      <c r="G89" s="16"/>
      <c r="L89" s="78"/>
    </row>
    <row r="90" spans="1:12" s="76" customFormat="1" ht="20.100000000000001" customHeight="1">
      <c r="A90" s="18" t="s">
        <v>52</v>
      </c>
      <c r="B90" s="4"/>
      <c r="C90" s="19"/>
      <c r="D90" s="29"/>
      <c r="E90" s="20">
        <f>설계요소!$BD$4</f>
        <v>15.38</v>
      </c>
      <c r="F90" s="31"/>
      <c r="G90" s="21"/>
    </row>
    <row r="91" spans="1:12" s="76" customFormat="1" ht="20.100000000000001" customHeight="1">
      <c r="A91" s="13" t="s">
        <v>181</v>
      </c>
      <c r="B91" s="26" t="s">
        <v>58</v>
      </c>
      <c r="C91" s="2"/>
      <c r="D91" s="28">
        <f>SUM(E91:G91)</f>
        <v>89.97999999999999</v>
      </c>
      <c r="E91" s="14">
        <f>SUM(E92:E95)</f>
        <v>15.38</v>
      </c>
      <c r="F91" s="28">
        <f t="shared" ref="F91:G91" si="17">SUM(F92:F95)</f>
        <v>30.94</v>
      </c>
      <c r="G91" s="15">
        <f t="shared" si="17"/>
        <v>43.66</v>
      </c>
    </row>
    <row r="92" spans="1:12" s="76" customFormat="1" ht="20.100000000000001" customHeight="1">
      <c r="A92" s="13" t="s">
        <v>40</v>
      </c>
      <c r="B92" s="3"/>
      <c r="C92" s="2" t="s">
        <v>59</v>
      </c>
      <c r="D92" s="28"/>
      <c r="E92" s="6"/>
      <c r="F92" s="30"/>
      <c r="G92" s="16">
        <f>ROUND(54581*0.0008,2)</f>
        <v>43.66</v>
      </c>
    </row>
    <row r="93" spans="1:12" s="76" customFormat="1" ht="20.100000000000001" customHeight="1">
      <c r="A93" s="13" t="s">
        <v>41</v>
      </c>
      <c r="B93" s="3" t="s">
        <v>45</v>
      </c>
      <c r="C93" s="2" t="s">
        <v>62</v>
      </c>
      <c r="D93" s="28"/>
      <c r="E93" s="6"/>
      <c r="F93" s="30">
        <f>ROUND(26*설계요소!$BD$9,2)</f>
        <v>22.1</v>
      </c>
      <c r="G93" s="16"/>
    </row>
    <row r="94" spans="1:12" s="76" customFormat="1" ht="20.100000000000001" customHeight="1">
      <c r="A94" s="13" t="s">
        <v>42</v>
      </c>
      <c r="B94" s="3" t="s">
        <v>46</v>
      </c>
      <c r="C94" s="17">
        <v>0.4</v>
      </c>
      <c r="D94" s="28"/>
      <c r="E94" s="6"/>
      <c r="F94" s="30">
        <f>ROUND($F$93*0.4,2)</f>
        <v>8.84</v>
      </c>
      <c r="G94" s="16"/>
    </row>
    <row r="95" spans="1:12" s="76" customFormat="1" ht="20.100000000000001" customHeight="1">
      <c r="A95" s="18" t="s">
        <v>52</v>
      </c>
      <c r="B95" s="4"/>
      <c r="C95" s="19"/>
      <c r="D95" s="29"/>
      <c r="E95" s="20">
        <f>설계요소!$BD$4</f>
        <v>15.38</v>
      </c>
      <c r="F95" s="31"/>
      <c r="G95" s="21"/>
    </row>
    <row r="96" spans="1:12" s="76" customFormat="1" ht="20.100000000000001" customHeight="1"/>
    <row r="97" spans="1:13" s="76" customFormat="1" ht="30.75" customHeight="1">
      <c r="A97" s="124" t="s">
        <v>63</v>
      </c>
      <c r="B97" s="124"/>
      <c r="C97" s="124"/>
      <c r="D97" s="124"/>
      <c r="E97" s="124"/>
      <c r="F97" s="124"/>
      <c r="G97" s="124"/>
    </row>
    <row r="98" spans="1:13" s="76" customFormat="1" ht="14.25" customHeight="1">
      <c r="A98" s="127" t="s">
        <v>312</v>
      </c>
      <c r="B98" s="127"/>
    </row>
    <row r="99" spans="1:13" s="76" customFormat="1" ht="20.100000000000001" customHeight="1">
      <c r="A99" s="7" t="s">
        <v>32</v>
      </c>
      <c r="B99" s="7" t="s">
        <v>43</v>
      </c>
      <c r="C99" s="7" t="s">
        <v>34</v>
      </c>
      <c r="D99" s="7" t="s">
        <v>35</v>
      </c>
      <c r="E99" s="7" t="s">
        <v>28</v>
      </c>
      <c r="F99" s="7" t="s">
        <v>29</v>
      </c>
      <c r="G99" s="7" t="s">
        <v>30</v>
      </c>
    </row>
    <row r="100" spans="1:13" s="76" customFormat="1" ht="20.100000000000001" customHeight="1">
      <c r="A100" s="84" t="s">
        <v>39</v>
      </c>
      <c r="B100" s="25" t="s">
        <v>33</v>
      </c>
      <c r="C100" s="87"/>
      <c r="D100" s="27">
        <f>SUM(E100:G100)</f>
        <v>21.5</v>
      </c>
      <c r="E100" s="23">
        <f>SUM(E101:E104)</f>
        <v>0</v>
      </c>
      <c r="F100" s="27">
        <f t="shared" ref="F100:G100" si="18">SUM(F101:F104)</f>
        <v>13.86</v>
      </c>
      <c r="G100" s="24">
        <f t="shared" si="18"/>
        <v>7.64</v>
      </c>
      <c r="J100" s="77"/>
      <c r="K100" s="77"/>
      <c r="L100" s="77"/>
    </row>
    <row r="101" spans="1:13" s="76" customFormat="1" ht="20.100000000000001" customHeight="1">
      <c r="A101" s="85" t="s">
        <v>40</v>
      </c>
      <c r="B101" s="3"/>
      <c r="C101" s="79" t="s">
        <v>50</v>
      </c>
      <c r="D101" s="28"/>
      <c r="E101" s="6"/>
      <c r="F101" s="30"/>
      <c r="G101" s="16">
        <f>ROUND(910*0.0084,2)</f>
        <v>7.64</v>
      </c>
      <c r="J101" s="78"/>
      <c r="K101" s="78"/>
      <c r="L101" s="78"/>
    </row>
    <row r="102" spans="1:13" s="76" customFormat="1" ht="20.100000000000001" customHeight="1">
      <c r="A102" s="85" t="s">
        <v>41</v>
      </c>
      <c r="B102" s="3" t="s">
        <v>48</v>
      </c>
      <c r="C102" s="79" t="s">
        <v>61</v>
      </c>
      <c r="D102" s="28"/>
      <c r="E102" s="6"/>
      <c r="F102" s="30">
        <f>ROUND(5.6*설계요소!$BO$8,2)</f>
        <v>7.11</v>
      </c>
      <c r="G102" s="16"/>
    </row>
    <row r="103" spans="1:13" s="76" customFormat="1" ht="20.100000000000001" customHeight="1">
      <c r="A103" s="85" t="s">
        <v>42</v>
      </c>
      <c r="B103" s="3" t="s">
        <v>46</v>
      </c>
      <c r="C103" s="88">
        <v>0.95</v>
      </c>
      <c r="D103" s="28"/>
      <c r="E103" s="6"/>
      <c r="F103" s="30">
        <f>ROUND($F$102*0.95,2)</f>
        <v>6.75</v>
      </c>
      <c r="G103" s="16"/>
    </row>
    <row r="104" spans="1:13" s="76" customFormat="1" ht="20.100000000000001" customHeight="1">
      <c r="A104" s="86" t="s">
        <v>51</v>
      </c>
      <c r="B104" s="3"/>
      <c r="C104" s="89"/>
      <c r="D104" s="29"/>
      <c r="E104" s="20">
        <f>설계요소!BN4</f>
        <v>0</v>
      </c>
      <c r="F104" s="31"/>
      <c r="G104" s="21"/>
      <c r="J104" s="77"/>
      <c r="K104" s="77"/>
      <c r="L104" s="77"/>
      <c r="M104" s="77"/>
    </row>
    <row r="105" spans="1:13" s="76" customFormat="1" ht="20.100000000000001" customHeight="1">
      <c r="A105" s="13" t="s">
        <v>187</v>
      </c>
      <c r="B105" s="25" t="s">
        <v>188</v>
      </c>
      <c r="C105" s="2"/>
      <c r="D105" s="28">
        <f>SUM(E105:G105)</f>
        <v>10.039999999999999</v>
      </c>
      <c r="E105" s="14">
        <f>SUM(E106:E109)</f>
        <v>0</v>
      </c>
      <c r="F105" s="28">
        <f t="shared" ref="F105:G105" si="19">SUM(F106:F109)</f>
        <v>6.9899999999999993</v>
      </c>
      <c r="G105" s="15">
        <f t="shared" si="19"/>
        <v>3.05</v>
      </c>
      <c r="J105" s="77"/>
      <c r="K105" s="77"/>
      <c r="L105" s="77"/>
    </row>
    <row r="106" spans="1:13" s="76" customFormat="1" ht="20.100000000000001" customHeight="1">
      <c r="A106" s="13" t="s">
        <v>40</v>
      </c>
      <c r="B106" s="3"/>
      <c r="C106" s="2" t="s">
        <v>190</v>
      </c>
      <c r="D106" s="28"/>
      <c r="E106" s="6"/>
      <c r="F106" s="30"/>
      <c r="G106" s="16">
        <f>ROUND(363*0.0084,2)</f>
        <v>3.05</v>
      </c>
      <c r="J106" s="78"/>
      <c r="K106" s="78"/>
      <c r="L106" s="78"/>
    </row>
    <row r="107" spans="1:13" s="76" customFormat="1" ht="20.100000000000001" customHeight="1">
      <c r="A107" s="13" t="s">
        <v>41</v>
      </c>
      <c r="B107" s="3" t="s">
        <v>48</v>
      </c>
      <c r="C107" s="2" t="s">
        <v>189</v>
      </c>
      <c r="D107" s="28"/>
      <c r="E107" s="6"/>
      <c r="F107" s="30">
        <f>ROUND(5*설계요소!$BO$8,2)</f>
        <v>6.35</v>
      </c>
      <c r="G107" s="16"/>
    </row>
    <row r="108" spans="1:13" s="76" customFormat="1" ht="20.100000000000001" customHeight="1">
      <c r="A108" s="13" t="s">
        <v>42</v>
      </c>
      <c r="B108" s="3" t="s">
        <v>46</v>
      </c>
      <c r="C108" s="17">
        <v>0.1</v>
      </c>
      <c r="D108" s="28"/>
      <c r="E108" s="6"/>
      <c r="F108" s="30">
        <f>ROUND($F$107*0.1,2)</f>
        <v>0.64</v>
      </c>
      <c r="G108" s="16"/>
    </row>
    <row r="109" spans="1:13" s="76" customFormat="1" ht="20.100000000000001" customHeight="1">
      <c r="A109" s="13" t="s">
        <v>51</v>
      </c>
      <c r="B109" s="3"/>
      <c r="C109" s="2"/>
      <c r="D109" s="28"/>
      <c r="E109" s="6">
        <f>설계요소!BN4</f>
        <v>0</v>
      </c>
      <c r="F109" s="30"/>
      <c r="G109" s="16"/>
      <c r="J109" s="77"/>
      <c r="K109" s="77"/>
      <c r="L109" s="77"/>
      <c r="M109" s="77"/>
    </row>
    <row r="110" spans="1:13" s="76" customFormat="1" ht="20.100000000000001" customHeight="1">
      <c r="A110" s="22" t="s">
        <v>55</v>
      </c>
      <c r="B110" s="25" t="s">
        <v>182</v>
      </c>
      <c r="C110" s="5"/>
      <c r="D110" s="27">
        <f>SUM(E110:G110)</f>
        <v>348.1</v>
      </c>
      <c r="E110" s="27">
        <f t="shared" ref="E110:G110" si="20">SUM(E111:E114)</f>
        <v>230</v>
      </c>
      <c r="F110" s="27">
        <f t="shared" si="20"/>
        <v>37.75</v>
      </c>
      <c r="G110" s="24">
        <f t="shared" si="20"/>
        <v>80.349999999999994</v>
      </c>
      <c r="L110" s="78"/>
    </row>
    <row r="111" spans="1:13" s="76" customFormat="1" ht="20.100000000000001" customHeight="1">
      <c r="A111" s="13" t="s">
        <v>40</v>
      </c>
      <c r="B111" s="3"/>
      <c r="C111" s="2" t="s">
        <v>183</v>
      </c>
      <c r="D111" s="28"/>
      <c r="E111" s="6"/>
      <c r="F111" s="30"/>
      <c r="G111" s="16">
        <f>ROUND(50221*0.0016,2)</f>
        <v>80.349999999999994</v>
      </c>
      <c r="L111" s="78"/>
    </row>
    <row r="112" spans="1:13" s="76" customFormat="1" ht="20.100000000000001" customHeight="1">
      <c r="A112" s="13" t="s">
        <v>41</v>
      </c>
      <c r="B112" s="3" t="s">
        <v>45</v>
      </c>
      <c r="C112" s="2" t="s">
        <v>184</v>
      </c>
      <c r="D112" s="28"/>
      <c r="E112" s="6"/>
      <c r="F112" s="30">
        <f>ROUND(40*설계요소!$BO$9,2)</f>
        <v>31.2</v>
      </c>
      <c r="G112" s="16"/>
      <c r="K112" s="11"/>
      <c r="L112" s="78"/>
    </row>
    <row r="113" spans="1:12" s="76" customFormat="1" ht="20.100000000000001" customHeight="1">
      <c r="A113" s="13" t="s">
        <v>42</v>
      </c>
      <c r="B113" s="3" t="s">
        <v>46</v>
      </c>
      <c r="C113" s="17">
        <v>0.21</v>
      </c>
      <c r="D113" s="28"/>
      <c r="E113" s="6"/>
      <c r="F113" s="30">
        <f>ROUND($F$112*0.21,2)</f>
        <v>6.55</v>
      </c>
      <c r="G113" s="16"/>
      <c r="L113" s="78"/>
    </row>
    <row r="114" spans="1:12" s="76" customFormat="1" ht="20.100000000000001" customHeight="1">
      <c r="A114" s="18" t="s">
        <v>52</v>
      </c>
      <c r="B114" s="4"/>
      <c r="C114" s="19"/>
      <c r="D114" s="29"/>
      <c r="E114" s="20">
        <f>설계요소!BO4</f>
        <v>230</v>
      </c>
      <c r="F114" s="31"/>
      <c r="G114" s="21"/>
    </row>
    <row r="115" spans="1:12" s="76" customFormat="1" ht="20.100000000000001" customHeight="1">
      <c r="A115" s="13" t="s">
        <v>185</v>
      </c>
      <c r="B115" s="26" t="s">
        <v>58</v>
      </c>
      <c r="C115" s="2"/>
      <c r="D115" s="28">
        <f>SUM(E115:G115)</f>
        <v>302.04999999999995</v>
      </c>
      <c r="E115" s="14">
        <f>SUM(E116:E119)</f>
        <v>230</v>
      </c>
      <c r="F115" s="28">
        <f t="shared" ref="F115:G115" si="21">SUM(F116:F119)</f>
        <v>28.39</v>
      </c>
      <c r="G115" s="15">
        <f t="shared" si="21"/>
        <v>43.66</v>
      </c>
    </row>
    <row r="116" spans="1:12" s="76" customFormat="1" ht="20.100000000000001" customHeight="1">
      <c r="A116" s="13" t="s">
        <v>40</v>
      </c>
      <c r="B116" s="3"/>
      <c r="C116" s="2" t="s">
        <v>59</v>
      </c>
      <c r="D116" s="28"/>
      <c r="E116" s="6"/>
      <c r="F116" s="30"/>
      <c r="G116" s="16">
        <f>ROUND(54581*0.0008,2)</f>
        <v>43.66</v>
      </c>
    </row>
    <row r="117" spans="1:12" s="76" customFormat="1" ht="20.100000000000001" customHeight="1">
      <c r="A117" s="13" t="s">
        <v>41</v>
      </c>
      <c r="B117" s="3" t="s">
        <v>45</v>
      </c>
      <c r="C117" s="2" t="s">
        <v>62</v>
      </c>
      <c r="D117" s="28"/>
      <c r="E117" s="6"/>
      <c r="F117" s="30">
        <f>ROUND(26*설계요소!$BO$9,2)</f>
        <v>20.28</v>
      </c>
      <c r="G117" s="16"/>
    </row>
    <row r="118" spans="1:12" s="76" customFormat="1" ht="20.100000000000001" customHeight="1">
      <c r="A118" s="13" t="s">
        <v>42</v>
      </c>
      <c r="B118" s="3" t="s">
        <v>46</v>
      </c>
      <c r="C118" s="17">
        <v>0.4</v>
      </c>
      <c r="D118" s="28"/>
      <c r="E118" s="6"/>
      <c r="F118" s="30">
        <f>ROUND($F$117*0.4,2)</f>
        <v>8.11</v>
      </c>
      <c r="G118" s="16"/>
    </row>
    <row r="119" spans="1:12" s="76" customFormat="1" ht="20.100000000000001" customHeight="1">
      <c r="A119" s="18" t="s">
        <v>52</v>
      </c>
      <c r="B119" s="4"/>
      <c r="C119" s="19"/>
      <c r="D119" s="29"/>
      <c r="E119" s="20">
        <f>설계요소!BO4</f>
        <v>230</v>
      </c>
      <c r="F119" s="31"/>
      <c r="G119" s="21"/>
    </row>
    <row r="120" spans="1:12" s="76" customFormat="1" ht="20.100000000000001" customHeight="1"/>
  </sheetData>
  <mergeCells count="10">
    <mergeCell ref="A98:B98"/>
    <mergeCell ref="A73:G73"/>
    <mergeCell ref="A74:B74"/>
    <mergeCell ref="A1:G1"/>
    <mergeCell ref="A97:G97"/>
    <mergeCell ref="A2:B2"/>
    <mergeCell ref="A25:G25"/>
    <mergeCell ref="A26:B26"/>
    <mergeCell ref="A49:G49"/>
    <mergeCell ref="A50:B50"/>
  </mergeCells>
  <phoneticPr fontId="2" type="noConversion"/>
  <pageMargins left="1.08" right="0.94" top="0.6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사용설명서</vt:lpstr>
      <vt:lpstr>설계요소</vt:lpstr>
      <vt:lpstr>열대지역장기수</vt:lpstr>
      <vt:lpstr>열대지역속성수</vt:lpstr>
      <vt:lpstr>팜유나무조림</vt:lpstr>
      <vt:lpstr>바이오매스조림</vt:lpstr>
      <vt:lpstr>고무나무조림</vt:lpstr>
      <vt:lpstr>기타지역장기수</vt:lpstr>
      <vt:lpstr>기계경비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이임영노트북</dc:creator>
  <cp:lastModifiedBy>Forest_user</cp:lastModifiedBy>
  <cp:lastPrinted>2016-02-02T07:08:47Z</cp:lastPrinted>
  <dcterms:created xsi:type="dcterms:W3CDTF">2015-09-19T14:22:21Z</dcterms:created>
  <dcterms:modified xsi:type="dcterms:W3CDTF">2021-01-26T02:00:50Z</dcterms:modified>
</cp:coreProperties>
</file>